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drawings/drawing1.xml" ContentType="application/vnd.openxmlformats-officedocument.drawing+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drawings/drawing2.xml" ContentType="application/vnd.openxmlformats-officedocument.drawing+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drawings/drawing3.xml" ContentType="application/vnd.openxmlformats-officedocument.drawing+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comments174.xml" ContentType="application/vnd.openxmlformats-officedocument.spreadsheetml.comments+xml"/>
  <Override PartName="/xl/comments175.xml" ContentType="application/vnd.openxmlformats-officedocument.spreadsheetml.comments+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comments179.xml" ContentType="application/vnd.openxmlformats-officedocument.spreadsheetml.comments+xml"/>
  <Override PartName="/xl/comments180.xml" ContentType="application/vnd.openxmlformats-officedocument.spreadsheetml.comments+xml"/>
  <Override PartName="/xl/comments181.xml" ContentType="application/vnd.openxmlformats-officedocument.spreadsheetml.comments+xml"/>
  <Override PartName="/xl/comments182.xml" ContentType="application/vnd.openxmlformats-officedocument.spreadsheetml.comments+xml"/>
  <Override PartName="/xl/comments183.xml" ContentType="application/vnd.openxmlformats-officedocument.spreadsheetml.comments+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comments188.xml" ContentType="application/vnd.openxmlformats-officedocument.spreadsheetml.comments+xml"/>
  <Override PartName="/xl/comments189.xml" ContentType="application/vnd.openxmlformats-officedocument.spreadsheetml.comments+xml"/>
  <Override PartName="/xl/comments190.xml" ContentType="application/vnd.openxmlformats-officedocument.spreadsheetml.comments+xml"/>
  <Override PartName="/xl/comments191.xml" ContentType="application/vnd.openxmlformats-officedocument.spreadsheetml.comments+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comments200.xml" ContentType="application/vnd.openxmlformats-officedocument.spreadsheetml.comments+xml"/>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comments205.xml" ContentType="application/vnd.openxmlformats-officedocument.spreadsheetml.comments+xml"/>
  <Override PartName="/xl/comments206.xml" ContentType="application/vnd.openxmlformats-officedocument.spreadsheetml.comments+xml"/>
  <Override PartName="/xl/comments207.xml" ContentType="application/vnd.openxmlformats-officedocument.spreadsheetml.comments+xml"/>
  <Override PartName="/xl/comments20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hidePivotFieldList="1"/>
  <mc:AlternateContent xmlns:mc="http://schemas.openxmlformats.org/markup-compatibility/2006">
    <mc:Choice Requires="x15">
      <x15ac:absPath xmlns:x15ac="http://schemas.microsoft.com/office/spreadsheetml/2010/11/ac" url="E:\2024年壮大贷项目申报\项目审计有关资料\审计过程文件\"/>
    </mc:Choice>
  </mc:AlternateContent>
  <xr:revisionPtr revIDLastSave="0" documentId="13_ncr:1_{E03FBA1A-1A8E-4CF0-8733-C1507DC983FE}" xr6:coauthVersionLast="47" xr6:coauthVersionMax="47" xr10:uidLastSave="{00000000-0000-0000-0000-000000000000}"/>
  <bookViews>
    <workbookView xWindow="-110" yWindow="-110" windowWidth="19420" windowHeight="10300" tabRatio="740" firstSheet="64" activeTab="64" xr2:uid="{00000000-000D-0000-FFFF-FFFF00000000}"/>
  </bookViews>
  <sheets>
    <sheet name="1" sheetId="101" state="hidden" r:id="rId1"/>
    <sheet name="2" sheetId="51" state="hidden" r:id="rId2"/>
    <sheet name="3" sheetId="38" state="hidden" r:id="rId3"/>
    <sheet name="4" sheetId="79" state="hidden" r:id="rId4"/>
    <sheet name="5" sheetId="77" state="hidden" r:id="rId5"/>
    <sheet name="6" sheetId="102" state="hidden" r:id="rId6"/>
    <sheet name="7" sheetId="52" state="hidden" r:id="rId7"/>
    <sheet name="8" sheetId="105" state="hidden" r:id="rId8"/>
    <sheet name="9" sheetId="106" state="hidden" r:id="rId9"/>
    <sheet name="10" sheetId="37" state="hidden" r:id="rId10"/>
    <sheet name="11" sheetId="78" state="hidden" r:id="rId11"/>
    <sheet name="12" sheetId="107" state="hidden" r:id="rId12"/>
    <sheet name="13" sheetId="108" state="hidden" r:id="rId13"/>
    <sheet name="14" sheetId="84" state="hidden" r:id="rId14"/>
    <sheet name="15" sheetId="103" state="hidden" r:id="rId15"/>
    <sheet name="16" sheetId="94" state="hidden" r:id="rId16"/>
    <sheet name="17" sheetId="83" state="hidden" r:id="rId17"/>
    <sheet name="18" sheetId="53" state="hidden" r:id="rId18"/>
    <sheet name="19" sheetId="82" state="hidden" r:id="rId19"/>
    <sheet name="20" sheetId="100" state="hidden" r:id="rId20"/>
    <sheet name="21" sheetId="80" state="hidden" r:id="rId21"/>
    <sheet name="22" sheetId="81" state="hidden" r:id="rId22"/>
    <sheet name="23" sheetId="104" state="hidden" r:id="rId23"/>
    <sheet name="24" sheetId="95" state="hidden" r:id="rId24"/>
    <sheet name="25" sheetId="57" state="hidden" r:id="rId25"/>
    <sheet name="26" sheetId="62" state="hidden" r:id="rId26"/>
    <sheet name="27" sheetId="99" state="hidden" r:id="rId27"/>
    <sheet name="28" sheetId="64" state="hidden" r:id="rId28"/>
    <sheet name="29" sheetId="75" state="hidden" r:id="rId29"/>
    <sheet name="30" sheetId="74" state="hidden" r:id="rId30"/>
    <sheet name="31" sheetId="58" state="hidden" r:id="rId31"/>
    <sheet name="32" sheetId="88" state="hidden" r:id="rId32"/>
    <sheet name="33" sheetId="98" state="hidden" r:id="rId33"/>
    <sheet name="34" sheetId="66" state="hidden" r:id="rId34"/>
    <sheet name="35" sheetId="96" state="hidden" r:id="rId35"/>
    <sheet name="36" sheetId="61" state="hidden" r:id="rId36"/>
    <sheet name="37" sheetId="67" state="hidden" r:id="rId37"/>
    <sheet name="38" sheetId="55" state="hidden" r:id="rId38"/>
    <sheet name="39" sheetId="68" state="hidden" r:id="rId39"/>
    <sheet name="40" sheetId="69" state="hidden" r:id="rId40"/>
    <sheet name="41" sheetId="90" state="hidden" r:id="rId41"/>
    <sheet name="42" sheetId="65" state="hidden" r:id="rId42"/>
    <sheet name="43" sheetId="63" state="hidden" r:id="rId43"/>
    <sheet name="44" sheetId="97" state="hidden" r:id="rId44"/>
    <sheet name="45" sheetId="76" state="hidden" r:id="rId45"/>
    <sheet name="46" sheetId="71" state="hidden" r:id="rId46"/>
    <sheet name="47" sheetId="85" state="hidden" r:id="rId47"/>
    <sheet name="48" sheetId="87" state="hidden" r:id="rId48"/>
    <sheet name="49" sheetId="92" state="hidden" r:id="rId49"/>
    <sheet name="50" sheetId="72" state="hidden" r:id="rId50"/>
    <sheet name="51" sheetId="86" state="hidden" r:id="rId51"/>
    <sheet name="52" sheetId="89" state="hidden" r:id="rId52"/>
    <sheet name="53" sheetId="56" state="hidden" r:id="rId53"/>
    <sheet name="54" sheetId="39" state="hidden" r:id="rId54"/>
    <sheet name="55" sheetId="91" state="hidden" r:id="rId55"/>
    <sheet name="56" sheetId="59" state="hidden" r:id="rId56"/>
    <sheet name="57" sheetId="60" state="hidden" r:id="rId57"/>
    <sheet name="58" sheetId="54" state="hidden" r:id="rId58"/>
    <sheet name="59" sheetId="70" state="hidden" r:id="rId59"/>
    <sheet name="60" sheetId="73" state="hidden" r:id="rId60"/>
    <sheet name="61" sheetId="93" state="hidden" r:id="rId61"/>
    <sheet name="68" sheetId="14" state="hidden" r:id="rId62"/>
    <sheet name="高新审计汇总透视表" sheetId="112" state="hidden" r:id="rId63"/>
    <sheet name="Sheet1" sheetId="243" state="hidden" r:id="rId64"/>
    <sheet name="拟支持企业名单" sheetId="250" r:id="rId65"/>
    <sheet name="高新申报数据透视" sheetId="114" state="hidden" r:id="rId66"/>
    <sheet name="Sheet6" sheetId="46" state="hidden" r:id="rId67"/>
    <sheet name="Sheet2" sheetId="35" state="hidden" r:id="rId68"/>
    <sheet name="空模板1" sheetId="15" state="hidden" r:id="rId69"/>
    <sheet name="152" sheetId="246" state="hidden" r:id="rId70"/>
    <sheet name="154" sheetId="247" state="hidden" r:id="rId71"/>
    <sheet name="155" sheetId="248" state="hidden" r:id="rId72"/>
    <sheet name="156" sheetId="249" state="hidden" r:id="rId73"/>
    <sheet name="158" sheetId="244" state="hidden" r:id="rId74"/>
    <sheet name="62" sheetId="10" state="hidden" r:id="rId75"/>
    <sheet name="63" sheetId="5" state="hidden" r:id="rId76"/>
    <sheet name="64" sheetId="9" state="hidden" r:id="rId77"/>
    <sheet name="65" sheetId="11" state="hidden" r:id="rId78"/>
    <sheet name="66" sheetId="12" state="hidden" r:id="rId79"/>
    <sheet name="67" sheetId="13" state="hidden" r:id="rId80"/>
    <sheet name="69" sheetId="24" state="hidden" r:id="rId81"/>
    <sheet name="73" sheetId="124" state="hidden" r:id="rId82"/>
    <sheet name="74" sheetId="125" state="hidden" r:id="rId83"/>
    <sheet name="75" sheetId="126" state="hidden" r:id="rId84"/>
    <sheet name="76" sheetId="127" state="hidden" r:id="rId85"/>
    <sheet name="77" sheetId="128" state="hidden" r:id="rId86"/>
    <sheet name="78" sheetId="129" state="hidden" r:id="rId87"/>
    <sheet name="79" sheetId="130" state="hidden" r:id="rId88"/>
    <sheet name="80" sheetId="131" state="hidden" r:id="rId89"/>
    <sheet name="81" sheetId="132" state="hidden" r:id="rId90"/>
    <sheet name="82" sheetId="133" state="hidden" r:id="rId91"/>
    <sheet name="83" sheetId="134" state="hidden" r:id="rId92"/>
    <sheet name="84" sheetId="135" state="hidden" r:id="rId93"/>
    <sheet name="85" sheetId="136" state="hidden" r:id="rId94"/>
    <sheet name="86" sheetId="137" state="hidden" r:id="rId95"/>
    <sheet name="87" sheetId="138" state="hidden" r:id="rId96"/>
    <sheet name="88" sheetId="139" state="hidden" r:id="rId97"/>
    <sheet name="89" sheetId="140" state="hidden" r:id="rId98"/>
    <sheet name="96" sheetId="142" state="hidden" r:id="rId99"/>
    <sheet name="97" sheetId="143" state="hidden" r:id="rId100"/>
    <sheet name="98" sheetId="144" state="hidden" r:id="rId101"/>
    <sheet name="133" sheetId="145" state="hidden" r:id="rId102"/>
    <sheet name="134" sheetId="146" state="hidden" r:id="rId103"/>
    <sheet name="136" sheetId="147" state="hidden" r:id="rId104"/>
    <sheet name="137" sheetId="148" state="hidden" r:id="rId105"/>
    <sheet name="138" sheetId="149" state="hidden" r:id="rId106"/>
    <sheet name="139" sheetId="150" state="hidden" r:id="rId107"/>
    <sheet name="141" sheetId="152" state="hidden" r:id="rId108"/>
    <sheet name="142" sheetId="153" state="hidden" r:id="rId109"/>
    <sheet name="143" sheetId="154" state="hidden" r:id="rId110"/>
    <sheet name="144" sheetId="155" state="hidden" r:id="rId111"/>
    <sheet name="145" sheetId="156" state="hidden" r:id="rId112"/>
    <sheet name="146" sheetId="157" state="hidden" r:id="rId113"/>
    <sheet name="147" sheetId="158" state="hidden" r:id="rId114"/>
    <sheet name="163" sheetId="159" state="hidden" r:id="rId115"/>
    <sheet name="164" sheetId="160" state="hidden" r:id="rId116"/>
    <sheet name="165" sheetId="161" state="hidden" r:id="rId117"/>
    <sheet name="166" sheetId="162" state="hidden" r:id="rId118"/>
    <sheet name="167" sheetId="163" state="hidden" r:id="rId119"/>
    <sheet name="168" sheetId="164" state="hidden" r:id="rId120"/>
    <sheet name="169" sheetId="165" state="hidden" r:id="rId121"/>
    <sheet name="170" sheetId="166" state="hidden" r:id="rId122"/>
    <sheet name="171" sheetId="167" state="hidden" r:id="rId123"/>
    <sheet name="202" sheetId="168" state="hidden" r:id="rId124"/>
    <sheet name="203" sheetId="169" state="hidden" r:id="rId125"/>
    <sheet name="204" sheetId="170" state="hidden" r:id="rId126"/>
    <sheet name="205" sheetId="171" state="hidden" r:id="rId127"/>
    <sheet name="206" sheetId="172" state="hidden" r:id="rId128"/>
    <sheet name="207" sheetId="173" state="hidden" r:id="rId129"/>
    <sheet name="70" sheetId="174" state="hidden" r:id="rId130"/>
    <sheet name="71" sheetId="175" state="hidden" r:id="rId131"/>
    <sheet name="72" sheetId="176" state="hidden" r:id="rId132"/>
    <sheet name="90" sheetId="177" state="hidden" r:id="rId133"/>
    <sheet name="91" sheetId="178" state="hidden" r:id="rId134"/>
    <sheet name="92" sheetId="179" state="hidden" r:id="rId135"/>
    <sheet name="93" sheetId="180" state="hidden" r:id="rId136"/>
    <sheet name="94" sheetId="181" state="hidden" r:id="rId137"/>
    <sheet name="99" sheetId="182" state="hidden" r:id="rId138"/>
    <sheet name="100" sheetId="183" state="hidden" r:id="rId139"/>
    <sheet name="95" sheetId="141" state="hidden" r:id="rId140"/>
    <sheet name="101" sheetId="184" state="hidden" r:id="rId141"/>
    <sheet name="102" sheetId="185" state="hidden" r:id="rId142"/>
    <sheet name="103" sheetId="186" state="hidden" r:id="rId143"/>
    <sheet name="104" sheetId="187" state="hidden" r:id="rId144"/>
    <sheet name="105" sheetId="188" state="hidden" r:id="rId145"/>
    <sheet name="106" sheetId="189" state="hidden" r:id="rId146"/>
    <sheet name="107" sheetId="190" state="hidden" r:id="rId147"/>
    <sheet name="108" sheetId="191" state="hidden" r:id="rId148"/>
    <sheet name="109" sheetId="192" state="hidden" r:id="rId149"/>
    <sheet name="110" sheetId="193" state="hidden" r:id="rId150"/>
    <sheet name="111" sheetId="194" state="hidden" r:id="rId151"/>
    <sheet name="172" sheetId="195" state="hidden" r:id="rId152"/>
    <sheet name="173" sheetId="196" state="hidden" r:id="rId153"/>
    <sheet name="174" sheetId="197" state="hidden" r:id="rId154"/>
    <sheet name="175" sheetId="198" state="hidden" r:id="rId155"/>
    <sheet name="176" sheetId="199" state="hidden" r:id="rId156"/>
    <sheet name="177" sheetId="200" state="hidden" r:id="rId157"/>
    <sheet name="178" sheetId="201" state="hidden" r:id="rId158"/>
    <sheet name="179" sheetId="202" state="hidden" r:id="rId159"/>
    <sheet name="180" sheetId="203" state="hidden" r:id="rId160"/>
    <sheet name="181" sheetId="204" state="hidden" r:id="rId161"/>
    <sheet name="182" sheetId="205" state="hidden" r:id="rId162"/>
    <sheet name="183" sheetId="206" state="hidden" r:id="rId163"/>
    <sheet name="115" sheetId="207" state="hidden" r:id="rId164"/>
    <sheet name="116" sheetId="208" state="hidden" r:id="rId165"/>
    <sheet name="117" sheetId="209" state="hidden" r:id="rId166"/>
    <sheet name="118" sheetId="210" state="hidden" r:id="rId167"/>
    <sheet name="119" sheetId="211" state="hidden" r:id="rId168"/>
    <sheet name="120" sheetId="212" state="hidden" r:id="rId169"/>
    <sheet name="121" sheetId="213" state="hidden" r:id="rId170"/>
    <sheet name="122" sheetId="214" state="hidden" r:id="rId171"/>
    <sheet name="123" sheetId="215" state="hidden" r:id="rId172"/>
    <sheet name="124" sheetId="216" state="hidden" r:id="rId173"/>
    <sheet name="125" sheetId="217" state="hidden" r:id="rId174"/>
    <sheet name="126" sheetId="218" state="hidden" r:id="rId175"/>
    <sheet name="127" sheetId="219" state="hidden" r:id="rId176"/>
    <sheet name="128" sheetId="220" state="hidden" r:id="rId177"/>
    <sheet name="129" sheetId="221" state="hidden" r:id="rId178"/>
    <sheet name="130" sheetId="222" state="hidden" r:id="rId179"/>
    <sheet name="131" sheetId="223" state="hidden" r:id="rId180"/>
    <sheet name="132" sheetId="224" state="hidden" r:id="rId181"/>
    <sheet name="184" sheetId="225" state="hidden" r:id="rId182"/>
    <sheet name="185" sheetId="226" state="hidden" r:id="rId183"/>
    <sheet name="186" sheetId="227" state="hidden" r:id="rId184"/>
    <sheet name="187" sheetId="228" state="hidden" r:id="rId185"/>
    <sheet name="188" sheetId="229" state="hidden" r:id="rId186"/>
    <sheet name="189" sheetId="230" state="hidden" r:id="rId187"/>
    <sheet name="190" sheetId="231" state="hidden" r:id="rId188"/>
    <sheet name="191" sheetId="232" state="hidden" r:id="rId189"/>
    <sheet name="192" sheetId="233" state="hidden" r:id="rId190"/>
    <sheet name="193" sheetId="234" state="hidden" r:id="rId191"/>
    <sheet name="194" sheetId="235" state="hidden" r:id="rId192"/>
    <sheet name="196" sheetId="237" state="hidden" r:id="rId193"/>
    <sheet name="197" sheetId="238" state="hidden" r:id="rId194"/>
    <sheet name="140" sheetId="151" state="hidden" r:id="rId195"/>
    <sheet name="199" sheetId="240" state="hidden" r:id="rId196"/>
    <sheet name="200" sheetId="241" state="hidden" r:id="rId197"/>
    <sheet name="201" sheetId="242" state="hidden" r:id="rId198"/>
    <sheet name="148" sheetId="115" state="hidden" r:id="rId199"/>
    <sheet name="149" sheetId="116" state="hidden" r:id="rId200"/>
    <sheet name="151" sheetId="245" state="hidden" r:id="rId201"/>
    <sheet name="150" sheetId="117" state="hidden" r:id="rId202"/>
    <sheet name="153" sheetId="118" state="hidden" r:id="rId203"/>
    <sheet name="157" sheetId="119" state="hidden" r:id="rId204"/>
    <sheet name="159" sheetId="120" state="hidden" r:id="rId205"/>
    <sheet name="160" sheetId="121" state="hidden" r:id="rId206"/>
    <sheet name="161" sheetId="122" state="hidden" r:id="rId207"/>
    <sheet name="195" sheetId="236" state="hidden" r:id="rId208"/>
    <sheet name="198" sheetId="239" state="hidden" r:id="rId209"/>
    <sheet name="162" sheetId="123" state="hidden" r:id="rId210"/>
    <sheet name="112" sheetId="41" state="hidden" r:id="rId211"/>
    <sheet name="113" sheetId="48" state="hidden" r:id="rId212"/>
    <sheet name="114" sheetId="49" state="hidden" r:id="rId213"/>
    <sheet name="135" sheetId="40" state="hidden" r:id="rId214"/>
  </sheets>
  <externalReferences>
    <externalReference r:id="rId215"/>
    <externalReference r:id="rId216"/>
    <externalReference r:id="rId217"/>
  </externalReferences>
  <definedNames>
    <definedName name="_xlnm._FilterDatabase" localSheetId="199" hidden="1">'149'!$A$3:$AD$8</definedName>
    <definedName name="_xlnm._FilterDatabase" localSheetId="201" hidden="1">'150'!$F$2:$AB$116</definedName>
    <definedName name="_xlnm._FilterDatabase" localSheetId="71" hidden="1">'155'!$A$3:$AD$14</definedName>
    <definedName name="_xlnm._FilterDatabase" localSheetId="203" hidden="1">'157'!$A$3:$AD$13</definedName>
    <definedName name="_xlnm._FilterDatabase" localSheetId="73" hidden="1">'158'!$A$3:$AD$16</definedName>
    <definedName name="_xlnm._FilterDatabase" localSheetId="205" hidden="1">'160'!$A$3:$AD$12</definedName>
    <definedName name="_xlnm._FilterDatabase" localSheetId="206" hidden="1">'161'!$A$3:$AD$10</definedName>
    <definedName name="_xlnm._FilterDatabase" localSheetId="209" hidden="1">'162'!$A$3:$AD$17</definedName>
    <definedName name="_xlnm._FilterDatabase" localSheetId="114" hidden="1">'163'!$A$3:$AD$8</definedName>
    <definedName name="_xlnm._FilterDatabase" localSheetId="119" hidden="1">'168'!$A$3:$AD$15</definedName>
    <definedName name="_xlnm._FilterDatabase" localSheetId="122" hidden="1">'171'!$A$3:$AD$15</definedName>
    <definedName name="_xlnm._FilterDatabase" localSheetId="17" hidden="1">'18'!$A$3:$AD$6</definedName>
    <definedName name="_xlnm._FilterDatabase" localSheetId="1" hidden="1">'2'!$A$3:$AD$9</definedName>
    <definedName name="_xlnm._FilterDatabase" localSheetId="24" hidden="1">'25'!$A$3:$AD$16</definedName>
    <definedName name="_xlnm._FilterDatabase" localSheetId="29" hidden="1">'30'!$A$3:$AD$16</definedName>
    <definedName name="_xlnm._FilterDatabase" localSheetId="35" hidden="1">'36'!$A$3:$AD$8</definedName>
    <definedName name="_xlnm._FilterDatabase" localSheetId="37" hidden="1">'38'!$A$3:$AD$16</definedName>
    <definedName name="_xlnm._FilterDatabase" localSheetId="41" hidden="1">'42'!$A$3:$AD$16</definedName>
    <definedName name="_xlnm._FilterDatabase" localSheetId="52" hidden="1">'53'!$A$3:$AD$11</definedName>
    <definedName name="_xlnm._FilterDatabase" localSheetId="74" hidden="1">'62'!$A$3:$AD$12</definedName>
    <definedName name="_xlnm._FilterDatabase" localSheetId="75" hidden="1">'63'!$A$3:$AD$6</definedName>
    <definedName name="_xlnm._FilterDatabase" localSheetId="78" hidden="1">'66'!$A$3:$AD$14</definedName>
    <definedName name="_xlnm._FilterDatabase" localSheetId="134" hidden="1">'92'!$A$3:$AC$29</definedName>
    <definedName name="_xlnm._FilterDatabase" localSheetId="63" hidden="1">Sheet1!$F$3:$G$211</definedName>
    <definedName name="_xlnm._FilterDatabase" localSheetId="64" hidden="1">拟支持企业名单!$A$2:$C$198</definedName>
    <definedName name="_xlnm.Print_Area" localSheetId="64">拟支持企业名单!$A$1:$C$198</definedName>
  </definedNames>
  <calcPr calcId="191029" fullPrecision="0"/>
  <pivotCaches>
    <pivotCache cacheId="0" r:id="rId218"/>
    <pivotCache cacheId="1" r:id="rId219"/>
    <pivotCache cacheId="2" r:id="rId220"/>
    <pivotCache cacheId="3" r:id="rId221"/>
    <pivotCache cacheId="4" r:id="rId222"/>
  </pivotCaches>
</workbook>
</file>

<file path=xl/calcChain.xml><?xml version="1.0" encoding="utf-8"?>
<calcChain xmlns="http://schemas.openxmlformats.org/spreadsheetml/2006/main">
  <c r="K115" i="40" l="1"/>
  <c r="Y114" i="40"/>
  <c r="R114" i="40"/>
  <c r="K114" i="40"/>
  <c r="Y92" i="40"/>
  <c r="T92" i="40"/>
  <c r="Q92" i="40"/>
  <c r="G92" i="40"/>
  <c r="Y70" i="40"/>
  <c r="T70" i="40"/>
  <c r="Q70" i="40"/>
  <c r="S50" i="40"/>
  <c r="T50" i="40" s="1"/>
  <c r="U50" i="40" s="1"/>
  <c r="U49" i="40"/>
  <c r="T49" i="40"/>
  <c r="S49" i="40"/>
  <c r="Y48" i="40"/>
  <c r="Q48" i="40"/>
  <c r="G48" i="40"/>
  <c r="G70" i="40" s="1"/>
  <c r="F48" i="40"/>
  <c r="F70" i="40" s="1"/>
  <c r="F92" i="40" s="1"/>
  <c r="E48" i="40"/>
  <c r="E70" i="40" s="1"/>
  <c r="E92" i="40" s="1"/>
  <c r="D48" i="40"/>
  <c r="D70" i="40" s="1"/>
  <c r="D92" i="40" s="1"/>
  <c r="C48" i="40"/>
  <c r="C70" i="40" s="1"/>
  <c r="C92" i="40" s="1"/>
  <c r="Y28" i="40"/>
  <c r="Y27" i="40"/>
  <c r="T27" i="40"/>
  <c r="S27" i="40"/>
  <c r="AD26" i="40"/>
  <c r="Z26" i="40"/>
  <c r="Y26" i="40"/>
  <c r="Q26" i="40"/>
  <c r="P26" i="40"/>
  <c r="G26" i="40"/>
  <c r="F26" i="40"/>
  <c r="E26" i="40"/>
  <c r="D26" i="40"/>
  <c r="C26" i="40"/>
  <c r="B26" i="40"/>
  <c r="B48" i="40" s="1"/>
  <c r="B70" i="40" s="1"/>
  <c r="B92" i="40" s="1"/>
  <c r="S8" i="40"/>
  <c r="T8" i="40" s="1"/>
  <c r="U8" i="40" s="1"/>
  <c r="S7" i="40"/>
  <c r="S6" i="40"/>
  <c r="Y5" i="40"/>
  <c r="U5" i="40"/>
  <c r="T5" i="40"/>
  <c r="S5" i="40"/>
  <c r="AD4" i="40"/>
  <c r="Y4" i="40"/>
  <c r="Z4" i="40" s="1"/>
  <c r="Q4" i="40"/>
  <c r="P4" i="40"/>
  <c r="B1" i="40"/>
  <c r="K115" i="49"/>
  <c r="R114" i="49"/>
  <c r="K114" i="49"/>
  <c r="Y92" i="49"/>
  <c r="T92" i="49"/>
  <c r="Q92" i="49"/>
  <c r="Y70" i="49"/>
  <c r="T70" i="49"/>
  <c r="Q70" i="49"/>
  <c r="C70" i="49"/>
  <c r="C92" i="49" s="1"/>
  <c r="U50" i="49"/>
  <c r="T50" i="49"/>
  <c r="S50" i="49"/>
  <c r="S49" i="49"/>
  <c r="T49" i="49" s="1"/>
  <c r="U49" i="49" s="1"/>
  <c r="Y48" i="49"/>
  <c r="Q48" i="49"/>
  <c r="C48" i="49"/>
  <c r="B48" i="49"/>
  <c r="B70" i="49" s="1"/>
  <c r="B92" i="49" s="1"/>
  <c r="U32" i="49"/>
  <c r="T32" i="49"/>
  <c r="S32" i="49"/>
  <c r="S31" i="49"/>
  <c r="S30" i="49"/>
  <c r="T31" i="49" s="1"/>
  <c r="U31" i="49" s="1"/>
  <c r="S29" i="49"/>
  <c r="Y28" i="49"/>
  <c r="S28" i="49"/>
  <c r="Y27" i="49"/>
  <c r="U27" i="49"/>
  <c r="T27" i="49"/>
  <c r="S27" i="49"/>
  <c r="AD26" i="49"/>
  <c r="Y26" i="49"/>
  <c r="Q26" i="49"/>
  <c r="P26" i="49"/>
  <c r="G26" i="49"/>
  <c r="G48" i="49" s="1"/>
  <c r="G70" i="49" s="1"/>
  <c r="G92" i="49" s="1"/>
  <c r="F26" i="49"/>
  <c r="F48" i="49" s="1"/>
  <c r="F70" i="49" s="1"/>
  <c r="F92" i="49" s="1"/>
  <c r="E26" i="49"/>
  <c r="E48" i="49" s="1"/>
  <c r="E70" i="49" s="1"/>
  <c r="E92" i="49" s="1"/>
  <c r="D26" i="49"/>
  <c r="D48" i="49" s="1"/>
  <c r="D70" i="49" s="1"/>
  <c r="D92" i="49" s="1"/>
  <c r="C26" i="49"/>
  <c r="B26" i="49"/>
  <c r="T19" i="49"/>
  <c r="U19" i="49" s="1"/>
  <c r="S19" i="49"/>
  <c r="S18" i="49"/>
  <c r="S17" i="49"/>
  <c r="U16" i="49"/>
  <c r="T16" i="49"/>
  <c r="S16" i="49"/>
  <c r="S15" i="49"/>
  <c r="T14" i="49"/>
  <c r="U14" i="49" s="1"/>
  <c r="S14" i="49"/>
  <c r="T15" i="49" s="1"/>
  <c r="U15" i="49" s="1"/>
  <c r="U13" i="49"/>
  <c r="T13" i="49"/>
  <c r="S13" i="49"/>
  <c r="S12" i="49"/>
  <c r="S11" i="49"/>
  <c r="T12" i="49" s="1"/>
  <c r="U12" i="49" s="1"/>
  <c r="S10" i="49"/>
  <c r="S9" i="49"/>
  <c r="T8" i="49"/>
  <c r="U8" i="49" s="1"/>
  <c r="S8" i="49"/>
  <c r="S7" i="49"/>
  <c r="S6" i="49"/>
  <c r="T6" i="49" s="1"/>
  <c r="Y5" i="49"/>
  <c r="U5" i="49"/>
  <c r="T5" i="49"/>
  <c r="S5" i="49"/>
  <c r="AD4" i="49"/>
  <c r="Y4" i="49"/>
  <c r="Z4" i="49" s="1"/>
  <c r="Q4" i="49"/>
  <c r="P4" i="49"/>
  <c r="B1" i="49"/>
  <c r="R114" i="48"/>
  <c r="K114" i="48"/>
  <c r="K115" i="48" s="1"/>
  <c r="Y92" i="48"/>
  <c r="Y114" i="48" s="1"/>
  <c r="T92" i="48"/>
  <c r="Q92" i="48"/>
  <c r="Y70" i="48"/>
  <c r="T70" i="48"/>
  <c r="Q70" i="48"/>
  <c r="S50" i="48"/>
  <c r="S49" i="48"/>
  <c r="Y48" i="48"/>
  <c r="Q48" i="48"/>
  <c r="E48" i="48"/>
  <c r="E70" i="48" s="1"/>
  <c r="E92" i="48" s="1"/>
  <c r="C48" i="48"/>
  <c r="C70" i="48" s="1"/>
  <c r="C92" i="48" s="1"/>
  <c r="B48" i="48"/>
  <c r="B70" i="48" s="1"/>
  <c r="B92" i="48" s="1"/>
  <c r="U32" i="48"/>
  <c r="T32" i="48"/>
  <c r="S32" i="48"/>
  <c r="S31" i="48"/>
  <c r="S30" i="48"/>
  <c r="S29" i="48"/>
  <c r="Y28" i="48"/>
  <c r="T28" i="48"/>
  <c r="U28" i="48" s="1"/>
  <c r="S28" i="48"/>
  <c r="T29" i="48" s="1"/>
  <c r="U29" i="48" s="1"/>
  <c r="Y27" i="48"/>
  <c r="U27" i="48"/>
  <c r="T27" i="48"/>
  <c r="S27" i="48"/>
  <c r="AD26" i="48"/>
  <c r="Y26" i="48"/>
  <c r="Q26" i="48"/>
  <c r="P26" i="48"/>
  <c r="G26" i="48"/>
  <c r="G48" i="48" s="1"/>
  <c r="G70" i="48" s="1"/>
  <c r="G92" i="48" s="1"/>
  <c r="F26" i="48"/>
  <c r="F48" i="48" s="1"/>
  <c r="F70" i="48" s="1"/>
  <c r="F92" i="48" s="1"/>
  <c r="E26" i="48"/>
  <c r="D26" i="48"/>
  <c r="D48" i="48" s="1"/>
  <c r="D70" i="48" s="1"/>
  <c r="D92" i="48" s="1"/>
  <c r="C26" i="48"/>
  <c r="B26" i="48"/>
  <c r="U12" i="48"/>
  <c r="T12" i="48"/>
  <c r="S12" i="48"/>
  <c r="S11" i="48"/>
  <c r="S10" i="48"/>
  <c r="T10" i="48" s="1"/>
  <c r="U10" i="48" s="1"/>
  <c r="U9" i="48"/>
  <c r="T9" i="48"/>
  <c r="S9" i="48"/>
  <c r="S8" i="48"/>
  <c r="S7" i="48"/>
  <c r="S6" i="48"/>
  <c r="Y5" i="48"/>
  <c r="T5" i="48"/>
  <c r="S5" i="48"/>
  <c r="T6" i="48" s="1"/>
  <c r="U6" i="48" s="1"/>
  <c r="AD4" i="48"/>
  <c r="Z4" i="48"/>
  <c r="Y4" i="48"/>
  <c r="Q4" i="48"/>
  <c r="P4" i="48"/>
  <c r="B1" i="48"/>
  <c r="K115" i="41"/>
  <c r="R114" i="41"/>
  <c r="K114" i="41"/>
  <c r="Y92" i="41"/>
  <c r="T92" i="41"/>
  <c r="Q92" i="41"/>
  <c r="G92" i="41"/>
  <c r="F92" i="41"/>
  <c r="AD70" i="41"/>
  <c r="Y70" i="41"/>
  <c r="T70" i="41"/>
  <c r="Q70" i="41"/>
  <c r="G70" i="41"/>
  <c r="F70" i="41"/>
  <c r="U55" i="41"/>
  <c r="T55" i="41"/>
  <c r="S55" i="41"/>
  <c r="S54" i="41"/>
  <c r="S53" i="41"/>
  <c r="T52" i="41"/>
  <c r="U52" i="41" s="1"/>
  <c r="S52" i="41"/>
  <c r="S51" i="41"/>
  <c r="T51" i="41" s="1"/>
  <c r="U51" i="41" s="1"/>
  <c r="T50" i="41"/>
  <c r="U50" i="41" s="1"/>
  <c r="S50" i="41"/>
  <c r="U49" i="41"/>
  <c r="T49" i="41"/>
  <c r="S49" i="41"/>
  <c r="AD48" i="41"/>
  <c r="Z48" i="41"/>
  <c r="Y48" i="41"/>
  <c r="Q48" i="41"/>
  <c r="P48" i="41"/>
  <c r="G48" i="41"/>
  <c r="F48" i="41"/>
  <c r="B48" i="41"/>
  <c r="B70" i="41" s="1"/>
  <c r="B92" i="41" s="1"/>
  <c r="U33" i="41"/>
  <c r="T33" i="41"/>
  <c r="S33" i="41"/>
  <c r="S32" i="41"/>
  <c r="T31" i="41"/>
  <c r="U31" i="41" s="1"/>
  <c r="S31" i="41"/>
  <c r="U30" i="41"/>
  <c r="T30" i="41"/>
  <c r="S30" i="41"/>
  <c r="S29" i="41"/>
  <c r="Y28" i="41"/>
  <c r="T28" i="41"/>
  <c r="S28" i="41"/>
  <c r="T29" i="41" s="1"/>
  <c r="U29" i="41" s="1"/>
  <c r="Y27" i="41"/>
  <c r="T27" i="41"/>
  <c r="U27" i="41" s="1"/>
  <c r="S27" i="41"/>
  <c r="AD26" i="41"/>
  <c r="Z26" i="41"/>
  <c r="Y26" i="41"/>
  <c r="Y114" i="41" s="1"/>
  <c r="Q26" i="41"/>
  <c r="P26" i="41"/>
  <c r="G26" i="41"/>
  <c r="F26" i="41"/>
  <c r="E26" i="41"/>
  <c r="E48" i="41" s="1"/>
  <c r="E70" i="41" s="1"/>
  <c r="E92" i="41" s="1"/>
  <c r="D26" i="41"/>
  <c r="D48" i="41" s="1"/>
  <c r="D70" i="41" s="1"/>
  <c r="D92" i="41" s="1"/>
  <c r="C26" i="41"/>
  <c r="C48" i="41" s="1"/>
  <c r="C70" i="41" s="1"/>
  <c r="C92" i="41" s="1"/>
  <c r="B26" i="41"/>
  <c r="S11" i="41"/>
  <c r="S10" i="41"/>
  <c r="T10" i="41" s="1"/>
  <c r="U10" i="41" s="1"/>
  <c r="U9" i="41"/>
  <c r="T9" i="41"/>
  <c r="S9" i="41"/>
  <c r="S8" i="41"/>
  <c r="T7" i="41"/>
  <c r="U7" i="41" s="1"/>
  <c r="S7" i="41"/>
  <c r="T8" i="41" s="1"/>
  <c r="U8" i="41" s="1"/>
  <c r="S6" i="41"/>
  <c r="S5" i="41"/>
  <c r="AD4" i="41"/>
  <c r="Z4" i="41"/>
  <c r="Y4" i="41"/>
  <c r="Q4" i="41"/>
  <c r="P4" i="41"/>
  <c r="B1" i="41"/>
  <c r="K115" i="123"/>
  <c r="Y114" i="123"/>
  <c r="R114" i="123"/>
  <c r="K114" i="123"/>
  <c r="Y92" i="123"/>
  <c r="T92" i="123"/>
  <c r="Q92" i="123"/>
  <c r="E92" i="123"/>
  <c r="D92" i="123"/>
  <c r="Y70" i="123"/>
  <c r="T70" i="123"/>
  <c r="Q70" i="123"/>
  <c r="S50" i="123"/>
  <c r="T50" i="123" s="1"/>
  <c r="U50" i="123" s="1"/>
  <c r="U49" i="123"/>
  <c r="T49" i="123"/>
  <c r="S49" i="123"/>
  <c r="Y48" i="123"/>
  <c r="Q48" i="123"/>
  <c r="F48" i="123"/>
  <c r="F70" i="123" s="1"/>
  <c r="F92" i="123" s="1"/>
  <c r="D48" i="123"/>
  <c r="D70" i="123" s="1"/>
  <c r="S32" i="123"/>
  <c r="U31" i="123"/>
  <c r="T31" i="123"/>
  <c r="S31" i="123"/>
  <c r="T32" i="123" s="1"/>
  <c r="U32" i="123" s="1"/>
  <c r="S30" i="123"/>
  <c r="S29" i="123"/>
  <c r="Y28" i="123"/>
  <c r="S28" i="123"/>
  <c r="Y27" i="123"/>
  <c r="S27" i="123"/>
  <c r="AD26" i="123"/>
  <c r="Y26" i="123"/>
  <c r="Q26" i="123"/>
  <c r="P26" i="123"/>
  <c r="G26" i="123"/>
  <c r="G48" i="123" s="1"/>
  <c r="G70" i="123" s="1"/>
  <c r="G92" i="123" s="1"/>
  <c r="F26" i="123"/>
  <c r="E26" i="123"/>
  <c r="E48" i="123" s="1"/>
  <c r="E70" i="123" s="1"/>
  <c r="D26" i="123"/>
  <c r="C26" i="123"/>
  <c r="C48" i="123" s="1"/>
  <c r="C70" i="123" s="1"/>
  <c r="C92" i="123" s="1"/>
  <c r="B26" i="123"/>
  <c r="B48" i="123" s="1"/>
  <c r="B70" i="123" s="1"/>
  <c r="B92" i="123" s="1"/>
  <c r="S17" i="123"/>
  <c r="S16" i="123"/>
  <c r="T16" i="123" s="1"/>
  <c r="U16" i="123" s="1"/>
  <c r="U15" i="123"/>
  <c r="T15" i="123"/>
  <c r="S15" i="123"/>
  <c r="S14" i="123"/>
  <c r="T13" i="123"/>
  <c r="U13" i="123" s="1"/>
  <c r="S13" i="123"/>
  <c r="T14" i="123" s="1"/>
  <c r="U14" i="123" s="1"/>
  <c r="S12" i="123"/>
  <c r="S11" i="123"/>
  <c r="U10" i="123"/>
  <c r="T10" i="123"/>
  <c r="S10" i="123"/>
  <c r="S9" i="123"/>
  <c r="T8" i="123"/>
  <c r="U8" i="123" s="1"/>
  <c r="S8" i="123"/>
  <c r="S7" i="123"/>
  <c r="Y6" i="123"/>
  <c r="S6" i="123"/>
  <c r="Y5" i="123"/>
  <c r="Y4" i="123" s="1"/>
  <c r="Z4" i="123" s="1"/>
  <c r="U5" i="123"/>
  <c r="T5" i="123"/>
  <c r="S5" i="123"/>
  <c r="AD4" i="123"/>
  <c r="Q4" i="123"/>
  <c r="P4" i="123"/>
  <c r="B1" i="123"/>
  <c r="K115" i="239"/>
  <c r="K116" i="239" s="1"/>
  <c r="K117" i="239" s="1"/>
  <c r="Y93" i="239"/>
  <c r="T93" i="239"/>
  <c r="Q93" i="239"/>
  <c r="Q4" i="239" s="1"/>
  <c r="Y71" i="239"/>
  <c r="T71" i="239"/>
  <c r="Q71" i="239"/>
  <c r="Y49" i="239"/>
  <c r="T49" i="239"/>
  <c r="Q49" i="239"/>
  <c r="F49" i="239"/>
  <c r="F71" i="239" s="1"/>
  <c r="F93" i="239" s="1"/>
  <c r="D49" i="239"/>
  <c r="D71" i="239" s="1"/>
  <c r="D93" i="239" s="1"/>
  <c r="Y27" i="239"/>
  <c r="G27" i="239"/>
  <c r="G49" i="239" s="1"/>
  <c r="G71" i="239" s="1"/>
  <c r="G93" i="239" s="1"/>
  <c r="F27" i="239"/>
  <c r="E27" i="239"/>
  <c r="E49" i="239" s="1"/>
  <c r="E71" i="239" s="1"/>
  <c r="E93" i="239" s="1"/>
  <c r="D27" i="239"/>
  <c r="C27" i="239"/>
  <c r="C49" i="239" s="1"/>
  <c r="C71" i="239" s="1"/>
  <c r="C93" i="239" s="1"/>
  <c r="B27" i="239"/>
  <c r="B49" i="239" s="1"/>
  <c r="B71" i="239" s="1"/>
  <c r="B93" i="239" s="1"/>
  <c r="U18" i="239"/>
  <c r="T18" i="239"/>
  <c r="U17" i="239"/>
  <c r="T17" i="239"/>
  <c r="U16" i="239"/>
  <c r="T16" i="239"/>
  <c r="T15" i="239"/>
  <c r="U15" i="239" s="1"/>
  <c r="U14" i="239"/>
  <c r="T14" i="239"/>
  <c r="U13" i="239"/>
  <c r="T13" i="239"/>
  <c r="U12" i="239"/>
  <c r="T12" i="239"/>
  <c r="T11" i="239"/>
  <c r="U11" i="239" s="1"/>
  <c r="U10" i="239"/>
  <c r="T10" i="239"/>
  <c r="U9" i="239"/>
  <c r="T9" i="239"/>
  <c r="U8" i="239"/>
  <c r="T8" i="239"/>
  <c r="T7" i="239"/>
  <c r="U7" i="239" s="1"/>
  <c r="U6" i="239"/>
  <c r="T6" i="239"/>
  <c r="U5" i="239"/>
  <c r="T5" i="239"/>
  <c r="Z4" i="239"/>
  <c r="Y4" i="239"/>
  <c r="P4" i="239"/>
  <c r="B1" i="239"/>
  <c r="K115" i="236"/>
  <c r="Y93" i="236"/>
  <c r="Y115" i="236" s="1"/>
  <c r="T93" i="236"/>
  <c r="Q93" i="236"/>
  <c r="Y71" i="236"/>
  <c r="T71" i="236"/>
  <c r="Q71" i="236"/>
  <c r="Y49" i="236"/>
  <c r="T49" i="236"/>
  <c r="Q49" i="236"/>
  <c r="D49" i="236"/>
  <c r="D71" i="236" s="1"/>
  <c r="D93" i="236" s="1"/>
  <c r="U40" i="236"/>
  <c r="T40" i="236"/>
  <c r="T39" i="236"/>
  <c r="U39" i="236" s="1"/>
  <c r="T38" i="236"/>
  <c r="U38" i="236" s="1"/>
  <c r="T37" i="236"/>
  <c r="U37" i="236" s="1"/>
  <c r="U36" i="236"/>
  <c r="T36" i="236"/>
  <c r="T35" i="236"/>
  <c r="U35" i="236" s="1"/>
  <c r="T34" i="236"/>
  <c r="U34" i="236" s="1"/>
  <c r="T33" i="236"/>
  <c r="U33" i="236" s="1"/>
  <c r="U32" i="236"/>
  <c r="T32" i="236"/>
  <c r="T31" i="236"/>
  <c r="U31" i="236" s="1"/>
  <c r="Y30" i="236"/>
  <c r="T30" i="236"/>
  <c r="U30" i="236" s="1"/>
  <c r="Y29" i="236"/>
  <c r="U29" i="236"/>
  <c r="T29" i="236"/>
  <c r="Y28" i="236"/>
  <c r="U28" i="236"/>
  <c r="T28" i="236"/>
  <c r="Y27" i="236"/>
  <c r="Z27" i="236" s="1"/>
  <c r="T27" i="236"/>
  <c r="Q27" i="236"/>
  <c r="P27" i="236"/>
  <c r="G27" i="236"/>
  <c r="G49" i="236" s="1"/>
  <c r="G71" i="236" s="1"/>
  <c r="G93" i="236" s="1"/>
  <c r="F27" i="236"/>
  <c r="F49" i="236" s="1"/>
  <c r="F71" i="236" s="1"/>
  <c r="F93" i="236" s="1"/>
  <c r="E27" i="236"/>
  <c r="E49" i="236" s="1"/>
  <c r="E71" i="236" s="1"/>
  <c r="E93" i="236" s="1"/>
  <c r="D27" i="236"/>
  <c r="C27" i="236"/>
  <c r="C49" i="236" s="1"/>
  <c r="C71" i="236" s="1"/>
  <c r="C93" i="236" s="1"/>
  <c r="B27" i="236"/>
  <c r="B49" i="236" s="1"/>
  <c r="B71" i="236" s="1"/>
  <c r="B93" i="236" s="1"/>
  <c r="U6" i="236"/>
  <c r="T6" i="236"/>
  <c r="T5" i="236"/>
  <c r="U5" i="236" s="1"/>
  <c r="Y4" i="236"/>
  <c r="Z4" i="236" s="1"/>
  <c r="T4" i="236"/>
  <c r="Q4" i="236"/>
  <c r="P4" i="236"/>
  <c r="B1" i="236"/>
  <c r="R114" i="122"/>
  <c r="K114" i="122"/>
  <c r="K115" i="122" s="1"/>
  <c r="Y92" i="122"/>
  <c r="T92" i="122"/>
  <c r="Q92" i="122"/>
  <c r="B92" i="122"/>
  <c r="Y70" i="122"/>
  <c r="T70" i="122"/>
  <c r="Q70" i="122"/>
  <c r="B70" i="122"/>
  <c r="S50" i="122"/>
  <c r="S49" i="122"/>
  <c r="Y48" i="122"/>
  <c r="Q48" i="122"/>
  <c r="C48" i="122"/>
  <c r="C70" i="122" s="1"/>
  <c r="C92" i="122" s="1"/>
  <c r="B48" i="122"/>
  <c r="U32" i="122"/>
  <c r="T32" i="122"/>
  <c r="S32" i="122"/>
  <c r="S31" i="122"/>
  <c r="S30" i="122"/>
  <c r="T31" i="122" s="1"/>
  <c r="U31" i="122" s="1"/>
  <c r="S29" i="122"/>
  <c r="S28" i="122"/>
  <c r="S27" i="122"/>
  <c r="T27" i="122" s="1"/>
  <c r="AD26" i="122"/>
  <c r="Y26" i="122"/>
  <c r="Z26" i="122" s="1"/>
  <c r="Q26" i="122"/>
  <c r="P26" i="122"/>
  <c r="G26" i="122"/>
  <c r="G48" i="122" s="1"/>
  <c r="G70" i="122" s="1"/>
  <c r="G92" i="122" s="1"/>
  <c r="F26" i="122"/>
  <c r="F48" i="122" s="1"/>
  <c r="F70" i="122" s="1"/>
  <c r="F92" i="122" s="1"/>
  <c r="E26" i="122"/>
  <c r="E48" i="122" s="1"/>
  <c r="E70" i="122" s="1"/>
  <c r="E92" i="122" s="1"/>
  <c r="D26" i="122"/>
  <c r="D48" i="122" s="1"/>
  <c r="D70" i="122" s="1"/>
  <c r="D92" i="122" s="1"/>
  <c r="C26" i="122"/>
  <c r="B26" i="122"/>
  <c r="S10" i="122"/>
  <c r="T10" i="122" s="1"/>
  <c r="U10" i="122" s="1"/>
  <c r="S9" i="122"/>
  <c r="S8" i="122"/>
  <c r="U7" i="122"/>
  <c r="S7" i="122"/>
  <c r="T7" i="122" s="1"/>
  <c r="S6" i="122"/>
  <c r="T5" i="122"/>
  <c r="S5" i="122"/>
  <c r="AD4" i="122"/>
  <c r="Z4" i="122"/>
  <c r="Y4" i="122"/>
  <c r="Q4" i="122"/>
  <c r="P4" i="122"/>
  <c r="B1" i="122"/>
  <c r="K115" i="121"/>
  <c r="R114" i="121"/>
  <c r="K114" i="121"/>
  <c r="Y92" i="121"/>
  <c r="T92" i="121"/>
  <c r="Q92" i="121"/>
  <c r="Y70" i="121"/>
  <c r="T70" i="121"/>
  <c r="Q70" i="121"/>
  <c r="S50" i="121"/>
  <c r="T50" i="121" s="1"/>
  <c r="U50" i="121" s="1"/>
  <c r="T49" i="121"/>
  <c r="T48" i="121" s="1"/>
  <c r="S49" i="121"/>
  <c r="Y48" i="121"/>
  <c r="Q48" i="121"/>
  <c r="G48" i="121"/>
  <c r="G70" i="121" s="1"/>
  <c r="G92" i="121" s="1"/>
  <c r="E48" i="121"/>
  <c r="E70" i="121" s="1"/>
  <c r="E92" i="121" s="1"/>
  <c r="D48" i="121"/>
  <c r="D70" i="121" s="1"/>
  <c r="D92" i="121" s="1"/>
  <c r="S35" i="121"/>
  <c r="T35" i="121" s="1"/>
  <c r="U35" i="121" s="1"/>
  <c r="T34" i="121"/>
  <c r="U34" i="121" s="1"/>
  <c r="S34" i="121"/>
  <c r="S33" i="121"/>
  <c r="S32" i="121"/>
  <c r="T32" i="121" s="1"/>
  <c r="U32" i="121" s="1"/>
  <c r="T31" i="121"/>
  <c r="U31" i="121" s="1"/>
  <c r="S31" i="121"/>
  <c r="S30" i="121"/>
  <c r="T29" i="121"/>
  <c r="U29" i="121" s="1"/>
  <c r="S29" i="121"/>
  <c r="T30" i="121" s="1"/>
  <c r="U30" i="121" s="1"/>
  <c r="S28" i="121"/>
  <c r="S27" i="121"/>
  <c r="AD26" i="121"/>
  <c r="Z26" i="121"/>
  <c r="Y26" i="121"/>
  <c r="Y114" i="121" s="1"/>
  <c r="Q26" i="121"/>
  <c r="P26" i="121"/>
  <c r="G26" i="121"/>
  <c r="F26" i="121"/>
  <c r="F48" i="121" s="1"/>
  <c r="F70" i="121" s="1"/>
  <c r="F92" i="121" s="1"/>
  <c r="E26" i="121"/>
  <c r="D26" i="121"/>
  <c r="C26" i="121"/>
  <c r="C48" i="121" s="1"/>
  <c r="C70" i="121" s="1"/>
  <c r="C92" i="121" s="1"/>
  <c r="B26" i="121"/>
  <c r="B48" i="121" s="1"/>
  <c r="B70" i="121" s="1"/>
  <c r="B92" i="121" s="1"/>
  <c r="S12" i="121"/>
  <c r="T11" i="121"/>
  <c r="U11" i="121" s="1"/>
  <c r="S11" i="121"/>
  <c r="T12" i="121" s="1"/>
  <c r="U12" i="121" s="1"/>
  <c r="S10" i="121"/>
  <c r="S9" i="121"/>
  <c r="T8" i="121"/>
  <c r="U8" i="121" s="1"/>
  <c r="S8" i="121"/>
  <c r="S7" i="121"/>
  <c r="T7" i="121" s="1"/>
  <c r="U7" i="121" s="1"/>
  <c r="T6" i="121"/>
  <c r="U6" i="121" s="1"/>
  <c r="S6" i="121"/>
  <c r="T5" i="121"/>
  <c r="U5" i="121" s="1"/>
  <c r="S5" i="121"/>
  <c r="AD4" i="121"/>
  <c r="Z4" i="121"/>
  <c r="Y4" i="121"/>
  <c r="Q4" i="121"/>
  <c r="P4" i="121"/>
  <c r="B1" i="121"/>
  <c r="K115" i="120"/>
  <c r="R114" i="120"/>
  <c r="K114" i="120"/>
  <c r="Y92" i="120"/>
  <c r="T92" i="120"/>
  <c r="Q92" i="120"/>
  <c r="Y70" i="120"/>
  <c r="T70" i="120"/>
  <c r="Q70" i="120"/>
  <c r="C70" i="120"/>
  <c r="C92" i="120" s="1"/>
  <c r="B70" i="120"/>
  <c r="B92" i="120" s="1"/>
  <c r="U50" i="120"/>
  <c r="T50" i="120"/>
  <c r="S50" i="120"/>
  <c r="T49" i="120"/>
  <c r="U49" i="120" s="1"/>
  <c r="S49" i="120"/>
  <c r="Y48" i="120"/>
  <c r="T48" i="120"/>
  <c r="Q48" i="120"/>
  <c r="G48" i="120"/>
  <c r="G70" i="120" s="1"/>
  <c r="G92" i="120" s="1"/>
  <c r="D48" i="120"/>
  <c r="D70" i="120" s="1"/>
  <c r="D92" i="120" s="1"/>
  <c r="B48" i="120"/>
  <c r="T32" i="120"/>
  <c r="U32" i="120" s="1"/>
  <c r="S32" i="120"/>
  <c r="S31" i="120"/>
  <c r="S30" i="120"/>
  <c r="T30" i="120" s="1"/>
  <c r="U30" i="120" s="1"/>
  <c r="T29" i="120"/>
  <c r="U29" i="120" s="1"/>
  <c r="S29" i="120"/>
  <c r="Y28" i="120"/>
  <c r="S28" i="120"/>
  <c r="T28" i="120" s="1"/>
  <c r="U28" i="120" s="1"/>
  <c r="Y27" i="120"/>
  <c r="T27" i="120"/>
  <c r="S27" i="120"/>
  <c r="AD26" i="120"/>
  <c r="Y26" i="120"/>
  <c r="Q26" i="120"/>
  <c r="P26" i="120"/>
  <c r="G26" i="120"/>
  <c r="F26" i="120"/>
  <c r="F48" i="120" s="1"/>
  <c r="F70" i="120" s="1"/>
  <c r="F92" i="120" s="1"/>
  <c r="E26" i="120"/>
  <c r="E48" i="120" s="1"/>
  <c r="E70" i="120" s="1"/>
  <c r="E92" i="120" s="1"/>
  <c r="D26" i="120"/>
  <c r="C26" i="120"/>
  <c r="C48" i="120" s="1"/>
  <c r="B26" i="120"/>
  <c r="S13" i="120"/>
  <c r="T13" i="120" s="1"/>
  <c r="U13" i="120" s="1"/>
  <c r="S12" i="120"/>
  <c r="S11" i="120"/>
  <c r="S10" i="120"/>
  <c r="T10" i="120" s="1"/>
  <c r="U10" i="120" s="1"/>
  <c r="S9" i="120"/>
  <c r="S8" i="120"/>
  <c r="T8" i="120" s="1"/>
  <c r="U8" i="120" s="1"/>
  <c r="U7" i="120"/>
  <c r="T7" i="120"/>
  <c r="S7" i="120"/>
  <c r="S6" i="120"/>
  <c r="S5" i="120"/>
  <c r="AD4" i="120"/>
  <c r="X4" i="120"/>
  <c r="Y4" i="120" s="1"/>
  <c r="Z4" i="120" s="1"/>
  <c r="Q4" i="120"/>
  <c r="P4" i="120"/>
  <c r="B1" i="120"/>
  <c r="K115" i="119"/>
  <c r="R114" i="119"/>
  <c r="K114" i="119"/>
  <c r="Y92" i="119"/>
  <c r="T92" i="119"/>
  <c r="Q92" i="119"/>
  <c r="Y70" i="119"/>
  <c r="T70" i="119"/>
  <c r="Q70" i="119"/>
  <c r="T50" i="119"/>
  <c r="U50" i="119" s="1"/>
  <c r="S50" i="119"/>
  <c r="S49" i="119"/>
  <c r="T49" i="119" s="1"/>
  <c r="U49" i="119" s="1"/>
  <c r="Y48" i="119"/>
  <c r="T48" i="119"/>
  <c r="Q48" i="119"/>
  <c r="G48" i="119"/>
  <c r="G70" i="119" s="1"/>
  <c r="G92" i="119" s="1"/>
  <c r="F48" i="119"/>
  <c r="F70" i="119" s="1"/>
  <c r="F92" i="119" s="1"/>
  <c r="E48" i="119"/>
  <c r="E70" i="119" s="1"/>
  <c r="E92" i="119" s="1"/>
  <c r="C48" i="119"/>
  <c r="C70" i="119" s="1"/>
  <c r="C92" i="119" s="1"/>
  <c r="S33" i="119"/>
  <c r="T33" i="119" s="1"/>
  <c r="U33" i="119" s="1"/>
  <c r="S32" i="119"/>
  <c r="S31" i="119"/>
  <c r="S30" i="119"/>
  <c r="T30" i="119" s="1"/>
  <c r="U30" i="119" s="1"/>
  <c r="S29" i="119"/>
  <c r="S28" i="119"/>
  <c r="T28" i="119" s="1"/>
  <c r="U27" i="119"/>
  <c r="T27" i="119"/>
  <c r="S27" i="119"/>
  <c r="AD26" i="119"/>
  <c r="Z26" i="119"/>
  <c r="Y26" i="119"/>
  <c r="Q26" i="119"/>
  <c r="P26" i="119"/>
  <c r="G26" i="119"/>
  <c r="F26" i="119"/>
  <c r="E26" i="119"/>
  <c r="D26" i="119"/>
  <c r="D48" i="119" s="1"/>
  <c r="D70" i="119" s="1"/>
  <c r="D92" i="119" s="1"/>
  <c r="C26" i="119"/>
  <c r="B26" i="119"/>
  <c r="B48" i="119" s="1"/>
  <c r="B70" i="119" s="1"/>
  <c r="B92" i="119" s="1"/>
  <c r="T13" i="119"/>
  <c r="U13" i="119" s="1"/>
  <c r="S13" i="119"/>
  <c r="S12" i="119"/>
  <c r="S11" i="119"/>
  <c r="T11" i="119" s="1"/>
  <c r="U11" i="119" s="1"/>
  <c r="T10" i="119"/>
  <c r="U10" i="119" s="1"/>
  <c r="S10" i="119"/>
  <c r="S9" i="119"/>
  <c r="T8" i="119"/>
  <c r="U8" i="119" s="1"/>
  <c r="S8" i="119"/>
  <c r="T9" i="119" s="1"/>
  <c r="U9" i="119" s="1"/>
  <c r="S7" i="119"/>
  <c r="S6" i="119"/>
  <c r="U5" i="119"/>
  <c r="T5" i="119"/>
  <c r="S5" i="119"/>
  <c r="X4" i="119"/>
  <c r="AD4" i="119" s="1"/>
  <c r="P4" i="119"/>
  <c r="B1" i="119"/>
  <c r="K115" i="118"/>
  <c r="R114" i="118"/>
  <c r="K114" i="118"/>
  <c r="X92" i="118"/>
  <c r="AD92" i="118" s="1"/>
  <c r="T92" i="118"/>
  <c r="Q92" i="118"/>
  <c r="E92" i="118"/>
  <c r="AD70" i="118"/>
  <c r="Y70" i="118"/>
  <c r="X70" i="118"/>
  <c r="T70" i="118"/>
  <c r="Q70" i="118"/>
  <c r="F70" i="118"/>
  <c r="F92" i="118" s="1"/>
  <c r="S50" i="118"/>
  <c r="T50" i="118" s="1"/>
  <c r="U50" i="118" s="1"/>
  <c r="T49" i="118"/>
  <c r="T48" i="118" s="1"/>
  <c r="S49" i="118"/>
  <c r="AD48" i="118"/>
  <c r="Y48" i="118"/>
  <c r="X48" i="118"/>
  <c r="Q48" i="118"/>
  <c r="P48" i="118"/>
  <c r="E48" i="118"/>
  <c r="E70" i="118" s="1"/>
  <c r="D48" i="118"/>
  <c r="D70" i="118" s="1"/>
  <c r="D92" i="118" s="1"/>
  <c r="U34" i="118"/>
  <c r="U33" i="118"/>
  <c r="T33" i="118"/>
  <c r="S33" i="118"/>
  <c r="S32" i="118"/>
  <c r="S31" i="118"/>
  <c r="T30" i="118"/>
  <c r="U30" i="118" s="1"/>
  <c r="S30" i="118"/>
  <c r="S29" i="118"/>
  <c r="S28" i="118"/>
  <c r="T28" i="118" s="1"/>
  <c r="U28" i="118" s="1"/>
  <c r="T27" i="118"/>
  <c r="U27" i="118" s="1"/>
  <c r="S27" i="118"/>
  <c r="X26" i="118"/>
  <c r="AD26" i="118" s="1"/>
  <c r="Q26" i="118"/>
  <c r="P26" i="118"/>
  <c r="G26" i="118"/>
  <c r="G48" i="118" s="1"/>
  <c r="G70" i="118" s="1"/>
  <c r="G92" i="118" s="1"/>
  <c r="F26" i="118"/>
  <c r="F48" i="118" s="1"/>
  <c r="E26" i="118"/>
  <c r="D26" i="118"/>
  <c r="C26" i="118"/>
  <c r="C48" i="118" s="1"/>
  <c r="C70" i="118" s="1"/>
  <c r="C92" i="118" s="1"/>
  <c r="B26" i="118"/>
  <c r="B48" i="118" s="1"/>
  <c r="B70" i="118" s="1"/>
  <c r="B92" i="118" s="1"/>
  <c r="U25" i="118"/>
  <c r="U24" i="118"/>
  <c r="U23" i="118"/>
  <c r="U22" i="118"/>
  <c r="U21" i="118"/>
  <c r="U20" i="118"/>
  <c r="U19" i="118"/>
  <c r="U18" i="118"/>
  <c r="U17" i="118"/>
  <c r="U16" i="118"/>
  <c r="U15" i="118"/>
  <c r="U14" i="118"/>
  <c r="U13" i="118"/>
  <c r="U12" i="118"/>
  <c r="U11" i="118"/>
  <c r="U10" i="118"/>
  <c r="S10" i="118"/>
  <c r="T10" i="118" s="1"/>
  <c r="S9" i="118"/>
  <c r="S8" i="118"/>
  <c r="S7" i="118"/>
  <c r="T7" i="118" s="1"/>
  <c r="U7" i="118" s="1"/>
  <c r="S6" i="118"/>
  <c r="S5" i="118"/>
  <c r="T5" i="118" s="1"/>
  <c r="AD4" i="118"/>
  <c r="Y4" i="118"/>
  <c r="Z4" i="118" s="1"/>
  <c r="X4" i="118"/>
  <c r="Q4" i="118"/>
  <c r="P4" i="118"/>
  <c r="B1" i="118"/>
  <c r="K115" i="117"/>
  <c r="Y114" i="117"/>
  <c r="R114" i="117"/>
  <c r="K114" i="117"/>
  <c r="Y92" i="117"/>
  <c r="T92" i="117"/>
  <c r="Q92" i="117"/>
  <c r="Y70" i="117"/>
  <c r="T70" i="117"/>
  <c r="Q70" i="117"/>
  <c r="G70" i="117"/>
  <c r="G92" i="117" s="1"/>
  <c r="S50" i="117"/>
  <c r="T49" i="117"/>
  <c r="S49" i="117"/>
  <c r="AB48" i="117"/>
  <c r="Y48" i="117"/>
  <c r="Q48" i="117"/>
  <c r="E48" i="117"/>
  <c r="E70" i="117" s="1"/>
  <c r="E92" i="117" s="1"/>
  <c r="D48" i="117"/>
  <c r="D70" i="117" s="1"/>
  <c r="D92" i="117" s="1"/>
  <c r="C48" i="117"/>
  <c r="C70" i="117" s="1"/>
  <c r="C92" i="117" s="1"/>
  <c r="T32" i="117"/>
  <c r="U32" i="117" s="1"/>
  <c r="U31" i="117"/>
  <c r="T31" i="117"/>
  <c r="U30" i="117"/>
  <c r="T30" i="117"/>
  <c r="U29" i="117"/>
  <c r="Y28" i="117"/>
  <c r="S28" i="117"/>
  <c r="T28" i="117" s="1"/>
  <c r="U28" i="117" s="1"/>
  <c r="Y27" i="117"/>
  <c r="T27" i="117"/>
  <c r="S27" i="117"/>
  <c r="AD26" i="117"/>
  <c r="Y26" i="117"/>
  <c r="Z26" i="117" s="1"/>
  <c r="Q26" i="117"/>
  <c r="P26" i="117"/>
  <c r="G26" i="117"/>
  <c r="G48" i="117" s="1"/>
  <c r="F26" i="117"/>
  <c r="F48" i="117" s="1"/>
  <c r="F70" i="117" s="1"/>
  <c r="F92" i="117" s="1"/>
  <c r="E26" i="117"/>
  <c r="D26" i="117"/>
  <c r="C26" i="117"/>
  <c r="B26" i="117"/>
  <c r="B48" i="117" s="1"/>
  <c r="B70" i="117" s="1"/>
  <c r="B92" i="117" s="1"/>
  <c r="T19" i="117"/>
  <c r="U19" i="117" s="1"/>
  <c r="S19" i="117"/>
  <c r="U18" i="117"/>
  <c r="S18" i="117"/>
  <c r="T18" i="117" s="1"/>
  <c r="S17" i="117"/>
  <c r="S16" i="117"/>
  <c r="S15" i="117"/>
  <c r="U14" i="117"/>
  <c r="S14" i="117"/>
  <c r="T14" i="117" s="1"/>
  <c r="S13" i="117"/>
  <c r="S12" i="117"/>
  <c r="S11" i="117"/>
  <c r="T11" i="117" s="1"/>
  <c r="U11" i="117" s="1"/>
  <c r="S10" i="117"/>
  <c r="T10" i="117" s="1"/>
  <c r="U10" i="117" s="1"/>
  <c r="S9" i="117"/>
  <c r="S8" i="117"/>
  <c r="S7" i="117"/>
  <c r="T7" i="117" s="1"/>
  <c r="U7" i="117" s="1"/>
  <c r="U6" i="117"/>
  <c r="S6" i="117"/>
  <c r="T6" i="117" s="1"/>
  <c r="U5" i="117"/>
  <c r="T5" i="117"/>
  <c r="S5" i="117"/>
  <c r="Y4" i="117"/>
  <c r="Z4" i="117" s="1"/>
  <c r="Q4" i="117"/>
  <c r="P4" i="117"/>
  <c r="B1" i="117"/>
  <c r="K115" i="245"/>
  <c r="R114" i="245"/>
  <c r="K114" i="245"/>
  <c r="AD92" i="245"/>
  <c r="Y92" i="245"/>
  <c r="T92" i="245"/>
  <c r="Q92" i="245"/>
  <c r="G92" i="245"/>
  <c r="AD70" i="245"/>
  <c r="Y70" i="245"/>
  <c r="T70" i="245"/>
  <c r="Q70" i="245"/>
  <c r="E70" i="245"/>
  <c r="E92" i="245" s="1"/>
  <c r="U50" i="245"/>
  <c r="S50" i="245"/>
  <c r="T50" i="245" s="1"/>
  <c r="T49" i="245"/>
  <c r="U49" i="245" s="1"/>
  <c r="S49" i="245"/>
  <c r="AD48" i="245"/>
  <c r="Y48" i="245"/>
  <c r="T48" i="245"/>
  <c r="Q48" i="245"/>
  <c r="P48" i="245"/>
  <c r="G48" i="245"/>
  <c r="G70" i="245" s="1"/>
  <c r="F48" i="245"/>
  <c r="F70" i="245" s="1"/>
  <c r="F92" i="245" s="1"/>
  <c r="D48" i="245"/>
  <c r="D70" i="245" s="1"/>
  <c r="D92" i="245" s="1"/>
  <c r="C48" i="245"/>
  <c r="C70" i="245" s="1"/>
  <c r="C92" i="245" s="1"/>
  <c r="B48" i="245"/>
  <c r="B70" i="245" s="1"/>
  <c r="B92" i="245" s="1"/>
  <c r="S32" i="245"/>
  <c r="T32" i="245" s="1"/>
  <c r="U32" i="245" s="1"/>
  <c r="U31" i="245"/>
  <c r="S31" i="245"/>
  <c r="T31" i="245" s="1"/>
  <c r="S30" i="245"/>
  <c r="S29" i="245"/>
  <c r="Y28" i="245"/>
  <c r="T28" i="245"/>
  <c r="S28" i="245"/>
  <c r="Y27" i="245"/>
  <c r="S27" i="245"/>
  <c r="T27" i="245" s="1"/>
  <c r="U27" i="245" s="1"/>
  <c r="AD26" i="245"/>
  <c r="Y26" i="245"/>
  <c r="Q26" i="245"/>
  <c r="P26" i="245"/>
  <c r="G26" i="245"/>
  <c r="F26" i="245"/>
  <c r="E26" i="245"/>
  <c r="E48" i="245" s="1"/>
  <c r="D26" i="245"/>
  <c r="C26" i="245"/>
  <c r="B26" i="245"/>
  <c r="S14" i="245"/>
  <c r="T14" i="245" s="1"/>
  <c r="U14" i="245" s="1"/>
  <c r="S13" i="245"/>
  <c r="S12" i="245"/>
  <c r="S11" i="245"/>
  <c r="S10" i="245"/>
  <c r="T10" i="245" s="1"/>
  <c r="U10" i="245" s="1"/>
  <c r="S9" i="245"/>
  <c r="S8" i="245"/>
  <c r="T7" i="245"/>
  <c r="U7" i="245" s="1"/>
  <c r="S7" i="245"/>
  <c r="U6" i="245"/>
  <c r="S6" i="245"/>
  <c r="T6" i="245" s="1"/>
  <c r="T5" i="245"/>
  <c r="S5" i="245"/>
  <c r="AD4" i="245"/>
  <c r="Y4" i="245"/>
  <c r="Z4" i="245" s="1"/>
  <c r="Q4" i="245"/>
  <c r="P4" i="245"/>
  <c r="B1" i="245"/>
  <c r="R114" i="116"/>
  <c r="K114" i="116"/>
  <c r="K115" i="116" s="1"/>
  <c r="Y92" i="116"/>
  <c r="T92" i="116"/>
  <c r="Q92" i="116"/>
  <c r="G92" i="116"/>
  <c r="Y70" i="116"/>
  <c r="T70" i="116"/>
  <c r="Q70" i="116"/>
  <c r="E70" i="116"/>
  <c r="E92" i="116" s="1"/>
  <c r="D70" i="116"/>
  <c r="D92" i="116" s="1"/>
  <c r="S50" i="116"/>
  <c r="S49" i="116"/>
  <c r="Y48" i="116"/>
  <c r="Z48" i="116" s="1"/>
  <c r="Q48" i="116"/>
  <c r="P48" i="116"/>
  <c r="E48" i="116"/>
  <c r="S32" i="116"/>
  <c r="T32" i="116" s="1"/>
  <c r="U32" i="116" s="1"/>
  <c r="U31" i="116"/>
  <c r="T31" i="116"/>
  <c r="S31" i="116"/>
  <c r="S30" i="116"/>
  <c r="S29" i="116"/>
  <c r="T29" i="116" s="1"/>
  <c r="U29" i="116" s="1"/>
  <c r="Y28" i="116"/>
  <c r="S28" i="116"/>
  <c r="Y27" i="116"/>
  <c r="T27" i="116"/>
  <c r="S27" i="116"/>
  <c r="AD26" i="116"/>
  <c r="Y26" i="116"/>
  <c r="Z26" i="116" s="1"/>
  <c r="AA26" i="116" s="1"/>
  <c r="Q26" i="116"/>
  <c r="P26" i="116"/>
  <c r="G26" i="116"/>
  <c r="G48" i="116" s="1"/>
  <c r="G70" i="116" s="1"/>
  <c r="F26" i="116"/>
  <c r="F48" i="116" s="1"/>
  <c r="F70" i="116" s="1"/>
  <c r="F92" i="116" s="1"/>
  <c r="E26" i="116"/>
  <c r="D26" i="116"/>
  <c r="D48" i="116" s="1"/>
  <c r="C26" i="116"/>
  <c r="C48" i="116" s="1"/>
  <c r="C70" i="116" s="1"/>
  <c r="C92" i="116" s="1"/>
  <c r="B26" i="116"/>
  <c r="B48" i="116" s="1"/>
  <c r="B70" i="116" s="1"/>
  <c r="B92" i="116" s="1"/>
  <c r="S8" i="116"/>
  <c r="T8" i="116" s="1"/>
  <c r="U8" i="116" s="1"/>
  <c r="S7" i="116"/>
  <c r="T7" i="116" s="1"/>
  <c r="U7" i="116" s="1"/>
  <c r="T6" i="116"/>
  <c r="U6" i="116" s="1"/>
  <c r="S6" i="116"/>
  <c r="T5" i="116"/>
  <c r="U5" i="116" s="1"/>
  <c r="S5" i="116"/>
  <c r="X4" i="116"/>
  <c r="Y4" i="116" s="1"/>
  <c r="Q4" i="116"/>
  <c r="P4" i="116"/>
  <c r="B1" i="116"/>
  <c r="K114" i="115"/>
  <c r="K115" i="115" s="1"/>
  <c r="K116" i="115" s="1"/>
  <c r="Y92" i="115"/>
  <c r="T92" i="115"/>
  <c r="Q92" i="115"/>
  <c r="F92" i="115"/>
  <c r="Y70" i="115"/>
  <c r="T70" i="115"/>
  <c r="Q70" i="115"/>
  <c r="G70" i="115"/>
  <c r="G92" i="115" s="1"/>
  <c r="C70" i="115"/>
  <c r="C92" i="115" s="1"/>
  <c r="Y48" i="115"/>
  <c r="T48" i="115"/>
  <c r="Q48" i="115"/>
  <c r="F48" i="115"/>
  <c r="F70" i="115" s="1"/>
  <c r="E48" i="115"/>
  <c r="E70" i="115" s="1"/>
  <c r="E92" i="115" s="1"/>
  <c r="D48" i="115"/>
  <c r="D70" i="115" s="1"/>
  <c r="D92" i="115" s="1"/>
  <c r="B48" i="115"/>
  <c r="B70" i="115" s="1"/>
  <c r="B92" i="115" s="1"/>
  <c r="Y26" i="115"/>
  <c r="G26" i="115"/>
  <c r="G48" i="115" s="1"/>
  <c r="F26" i="115"/>
  <c r="E26" i="115"/>
  <c r="D26" i="115"/>
  <c r="C26" i="115"/>
  <c r="C48" i="115" s="1"/>
  <c r="B26" i="115"/>
  <c r="U6" i="115"/>
  <c r="T6" i="115"/>
  <c r="T4" i="115" s="1"/>
  <c r="U5" i="115"/>
  <c r="T5" i="115"/>
  <c r="Y4" i="115"/>
  <c r="Z4" i="115" s="1"/>
  <c r="Q4" i="115"/>
  <c r="P4" i="115"/>
  <c r="B1" i="115"/>
  <c r="K117" i="242"/>
  <c r="K115" i="242"/>
  <c r="K116" i="242" s="1"/>
  <c r="Y93" i="242"/>
  <c r="Y115" i="242" s="1"/>
  <c r="T93" i="242"/>
  <c r="Q93" i="242"/>
  <c r="F93" i="242"/>
  <c r="Y71" i="242"/>
  <c r="T71" i="242"/>
  <c r="Q71" i="242"/>
  <c r="Y49" i="242"/>
  <c r="T49" i="242"/>
  <c r="Q49" i="242"/>
  <c r="E49" i="242"/>
  <c r="E71" i="242" s="1"/>
  <c r="E93" i="242" s="1"/>
  <c r="D49" i="242"/>
  <c r="D71" i="242" s="1"/>
  <c r="D93" i="242" s="1"/>
  <c r="B49" i="242"/>
  <c r="B71" i="242" s="1"/>
  <c r="B93" i="242" s="1"/>
  <c r="U37" i="242"/>
  <c r="T37" i="242"/>
  <c r="T36" i="242"/>
  <c r="U36" i="242" s="1"/>
  <c r="T35" i="242"/>
  <c r="U35" i="242" s="1"/>
  <c r="T34" i="242"/>
  <c r="U34" i="242" s="1"/>
  <c r="T33" i="242"/>
  <c r="U33" i="242" s="1"/>
  <c r="T32" i="242"/>
  <c r="U32" i="242" s="1"/>
  <c r="T31" i="242"/>
  <c r="U31" i="242" s="1"/>
  <c r="T30" i="242"/>
  <c r="U30" i="242" s="1"/>
  <c r="U29" i="242"/>
  <c r="T29" i="242"/>
  <c r="T28" i="242"/>
  <c r="U28" i="242" s="1"/>
  <c r="Y27" i="242"/>
  <c r="Z27" i="242" s="1"/>
  <c r="Q27" i="242"/>
  <c r="P27" i="242"/>
  <c r="G27" i="242"/>
  <c r="G49" i="242" s="1"/>
  <c r="G71" i="242" s="1"/>
  <c r="G93" i="242" s="1"/>
  <c r="F27" i="242"/>
  <c r="F49" i="242" s="1"/>
  <c r="F71" i="242" s="1"/>
  <c r="E27" i="242"/>
  <c r="D27" i="242"/>
  <c r="C27" i="242"/>
  <c r="C49" i="242" s="1"/>
  <c r="C71" i="242" s="1"/>
  <c r="C93" i="242" s="1"/>
  <c r="B27" i="242"/>
  <c r="T14" i="242"/>
  <c r="U14" i="242" s="1"/>
  <c r="U13" i="242"/>
  <c r="T13" i="242"/>
  <c r="T12" i="242"/>
  <c r="U12" i="242" s="1"/>
  <c r="U11" i="242"/>
  <c r="T11" i="242"/>
  <c r="T10" i="242"/>
  <c r="U10" i="242" s="1"/>
  <c r="U9" i="242"/>
  <c r="T9" i="242"/>
  <c r="T8" i="242"/>
  <c r="U8" i="242" s="1"/>
  <c r="U7" i="242"/>
  <c r="T7" i="242"/>
  <c r="T6" i="242"/>
  <c r="U5" i="242"/>
  <c r="T5" i="242"/>
  <c r="Y4" i="242"/>
  <c r="Z4" i="242" s="1"/>
  <c r="Q4" i="242"/>
  <c r="P4" i="242"/>
  <c r="B1" i="242"/>
  <c r="K115" i="241"/>
  <c r="K116" i="241" s="1"/>
  <c r="K117" i="241" s="1"/>
  <c r="Y93" i="241"/>
  <c r="T93" i="241"/>
  <c r="Q93" i="241"/>
  <c r="B93" i="241"/>
  <c r="Y71" i="241"/>
  <c r="T71" i="241"/>
  <c r="Q71" i="241"/>
  <c r="Y49" i="241"/>
  <c r="T49" i="241"/>
  <c r="Q49" i="241"/>
  <c r="Q4" i="241" s="1"/>
  <c r="E49" i="241"/>
  <c r="E71" i="241" s="1"/>
  <c r="E93" i="241" s="1"/>
  <c r="B49" i="241"/>
  <c r="B71" i="241" s="1"/>
  <c r="Y27" i="241"/>
  <c r="G27" i="241"/>
  <c r="G49" i="241" s="1"/>
  <c r="G71" i="241" s="1"/>
  <c r="G93" i="241" s="1"/>
  <c r="F27" i="241"/>
  <c r="F49" i="241" s="1"/>
  <c r="F71" i="241" s="1"/>
  <c r="F93" i="241" s="1"/>
  <c r="E27" i="241"/>
  <c r="D27" i="241"/>
  <c r="D49" i="241" s="1"/>
  <c r="D71" i="241" s="1"/>
  <c r="D93" i="241" s="1"/>
  <c r="C27" i="241"/>
  <c r="C49" i="241" s="1"/>
  <c r="C71" i="241" s="1"/>
  <c r="C93" i="241" s="1"/>
  <c r="B27" i="241"/>
  <c r="T16" i="241"/>
  <c r="U16" i="241" s="1"/>
  <c r="U15" i="241"/>
  <c r="T15" i="241"/>
  <c r="T14" i="241"/>
  <c r="U14" i="241" s="1"/>
  <c r="U13" i="241"/>
  <c r="T13" i="241"/>
  <c r="U12" i="241"/>
  <c r="T12" i="241"/>
  <c r="U11" i="241"/>
  <c r="T11" i="241"/>
  <c r="T10" i="241"/>
  <c r="U10" i="241" s="1"/>
  <c r="U9" i="241"/>
  <c r="T9" i="241"/>
  <c r="U8" i="241"/>
  <c r="T8" i="241"/>
  <c r="U7" i="241"/>
  <c r="T7" i="241"/>
  <c r="T6" i="241"/>
  <c r="U6" i="241" s="1"/>
  <c r="U5" i="241"/>
  <c r="T5" i="241"/>
  <c r="Y4" i="241"/>
  <c r="Z4" i="241" s="1"/>
  <c r="P4" i="241"/>
  <c r="B1" i="241"/>
  <c r="Y115" i="240"/>
  <c r="K115" i="240"/>
  <c r="K116" i="240" s="1"/>
  <c r="K117" i="240" s="1"/>
  <c r="Y93" i="240"/>
  <c r="T93" i="240"/>
  <c r="Q93" i="240"/>
  <c r="F93" i="240"/>
  <c r="C93" i="240"/>
  <c r="B93" i="240"/>
  <c r="Y71" i="240"/>
  <c r="T71" i="240"/>
  <c r="Q71" i="240"/>
  <c r="C71" i="240"/>
  <c r="Y49" i="240"/>
  <c r="T49" i="240"/>
  <c r="Q49" i="240"/>
  <c r="Q4" i="240" s="1"/>
  <c r="F49" i="240"/>
  <c r="F71" i="240" s="1"/>
  <c r="Y27" i="240"/>
  <c r="G27" i="240"/>
  <c r="G49" i="240" s="1"/>
  <c r="G71" i="240" s="1"/>
  <c r="G93" i="240" s="1"/>
  <c r="F27" i="240"/>
  <c r="E27" i="240"/>
  <c r="E49" i="240" s="1"/>
  <c r="E71" i="240" s="1"/>
  <c r="E93" i="240" s="1"/>
  <c r="D27" i="240"/>
  <c r="D49" i="240" s="1"/>
  <c r="D71" i="240" s="1"/>
  <c r="D93" i="240" s="1"/>
  <c r="C27" i="240"/>
  <c r="C49" i="240" s="1"/>
  <c r="B27" i="240"/>
  <c r="B49" i="240" s="1"/>
  <c r="B71" i="240" s="1"/>
  <c r="T17" i="240"/>
  <c r="U17" i="240" s="1"/>
  <c r="U16" i="240"/>
  <c r="T16" i="240"/>
  <c r="T15" i="240"/>
  <c r="U15" i="240" s="1"/>
  <c r="U14" i="240"/>
  <c r="T14" i="240"/>
  <c r="T13" i="240"/>
  <c r="U13" i="240" s="1"/>
  <c r="U12" i="240"/>
  <c r="T12" i="240"/>
  <c r="U11" i="240"/>
  <c r="T11" i="240"/>
  <c r="U10" i="240"/>
  <c r="T10" i="240"/>
  <c r="T9" i="240"/>
  <c r="U9" i="240" s="1"/>
  <c r="U8" i="240"/>
  <c r="T8" i="240"/>
  <c r="T7" i="240"/>
  <c r="U7" i="240" s="1"/>
  <c r="U6" i="240"/>
  <c r="T6" i="240"/>
  <c r="T5" i="240"/>
  <c r="Z4" i="240"/>
  <c r="Y4" i="240"/>
  <c r="P4" i="240"/>
  <c r="B1" i="240"/>
  <c r="R114" i="151"/>
  <c r="K114" i="151"/>
  <c r="K115" i="151" s="1"/>
  <c r="Y92" i="151"/>
  <c r="T92" i="151"/>
  <c r="Q92" i="151"/>
  <c r="E92" i="151"/>
  <c r="D92" i="151"/>
  <c r="B92" i="151"/>
  <c r="Y70" i="151"/>
  <c r="T70" i="151"/>
  <c r="Q70" i="151"/>
  <c r="F70" i="151"/>
  <c r="F92" i="151" s="1"/>
  <c r="E70" i="151"/>
  <c r="C70" i="151"/>
  <c r="C92" i="151" s="1"/>
  <c r="B70" i="151"/>
  <c r="U50" i="151"/>
  <c r="S50" i="151"/>
  <c r="U49" i="151"/>
  <c r="T49" i="151"/>
  <c r="S49" i="151"/>
  <c r="T50" i="151" s="1"/>
  <c r="Y48" i="151"/>
  <c r="T48" i="151"/>
  <c r="Q48" i="151"/>
  <c r="G48" i="151"/>
  <c r="G70" i="151" s="1"/>
  <c r="G92" i="151" s="1"/>
  <c r="F48" i="151"/>
  <c r="E48" i="151"/>
  <c r="D48" i="151"/>
  <c r="D70" i="151" s="1"/>
  <c r="C48" i="151"/>
  <c r="B48" i="151"/>
  <c r="U31" i="151"/>
  <c r="T31" i="151"/>
  <c r="U30" i="151"/>
  <c r="T30" i="151"/>
  <c r="U29" i="151"/>
  <c r="T29" i="151"/>
  <c r="Y28" i="151"/>
  <c r="T28" i="151"/>
  <c r="U28" i="151" s="1"/>
  <c r="Y27" i="151"/>
  <c r="U27" i="151"/>
  <c r="T27" i="151"/>
  <c r="U16" i="151"/>
  <c r="T16" i="151"/>
  <c r="T15" i="151"/>
  <c r="U15" i="151" s="1"/>
  <c r="T14" i="151"/>
  <c r="U14" i="151" s="1"/>
  <c r="U13" i="151"/>
  <c r="T13" i="151"/>
  <c r="U12" i="151"/>
  <c r="T12" i="151"/>
  <c r="T11" i="151"/>
  <c r="U11" i="151" s="1"/>
  <c r="U10" i="151"/>
  <c r="T10" i="151"/>
  <c r="U9" i="151"/>
  <c r="T9" i="151"/>
  <c r="U8" i="151"/>
  <c r="T8" i="151"/>
  <c r="T7" i="151"/>
  <c r="U7" i="151" s="1"/>
  <c r="T6" i="151"/>
  <c r="U6" i="151" s="1"/>
  <c r="Y5" i="151"/>
  <c r="T5" i="151"/>
  <c r="U5" i="151" s="1"/>
  <c r="AD4" i="151"/>
  <c r="Y4" i="151"/>
  <c r="T4" i="151"/>
  <c r="Q4" i="151"/>
  <c r="P4" i="151"/>
  <c r="B1" i="151"/>
  <c r="K115" i="238"/>
  <c r="K116" i="238" s="1"/>
  <c r="K117" i="238" s="1"/>
  <c r="Y93" i="238"/>
  <c r="Y115" i="238" s="1"/>
  <c r="T93" i="238"/>
  <c r="Q93" i="238"/>
  <c r="E93" i="238"/>
  <c r="Y71" i="238"/>
  <c r="T71" i="238"/>
  <c r="Q71" i="238"/>
  <c r="B71" i="238"/>
  <c r="B93" i="238" s="1"/>
  <c r="Y49" i="238"/>
  <c r="T49" i="238"/>
  <c r="Q49" i="238"/>
  <c r="Q4" i="238" s="1"/>
  <c r="E49" i="238"/>
  <c r="E71" i="238" s="1"/>
  <c r="D49" i="238"/>
  <c r="D71" i="238" s="1"/>
  <c r="D93" i="238" s="1"/>
  <c r="B49" i="238"/>
  <c r="Y27" i="238"/>
  <c r="G27" i="238"/>
  <c r="G49" i="238" s="1"/>
  <c r="G71" i="238" s="1"/>
  <c r="G93" i="238" s="1"/>
  <c r="F27" i="238"/>
  <c r="F49" i="238" s="1"/>
  <c r="F71" i="238" s="1"/>
  <c r="F93" i="238" s="1"/>
  <c r="E27" i="238"/>
  <c r="D27" i="238"/>
  <c r="C27" i="238"/>
  <c r="C49" i="238" s="1"/>
  <c r="C71" i="238" s="1"/>
  <c r="C93" i="238" s="1"/>
  <c r="B27" i="238"/>
  <c r="U16" i="238"/>
  <c r="T16" i="238"/>
  <c r="T15" i="238"/>
  <c r="U15" i="238" s="1"/>
  <c r="T14" i="238"/>
  <c r="U14" i="238" s="1"/>
  <c r="T13" i="238"/>
  <c r="U13" i="238" s="1"/>
  <c r="U12" i="238"/>
  <c r="T12" i="238"/>
  <c r="T11" i="238"/>
  <c r="U11" i="238" s="1"/>
  <c r="T10" i="238"/>
  <c r="U10" i="238" s="1"/>
  <c r="U9" i="238"/>
  <c r="T9" i="238"/>
  <c r="U8" i="238"/>
  <c r="T8" i="238"/>
  <c r="U7" i="238"/>
  <c r="T7" i="238"/>
  <c r="T6" i="238"/>
  <c r="U5" i="238"/>
  <c r="T5" i="238"/>
  <c r="Z4" i="238"/>
  <c r="Y4" i="238"/>
  <c r="P4" i="238"/>
  <c r="B1" i="238"/>
  <c r="K115" i="237"/>
  <c r="K116" i="237" s="1"/>
  <c r="K117" i="237" s="1"/>
  <c r="Y93" i="237"/>
  <c r="Y115" i="237" s="1"/>
  <c r="T93" i="237"/>
  <c r="Q93" i="237"/>
  <c r="Y71" i="237"/>
  <c r="T71" i="237"/>
  <c r="Q71" i="237"/>
  <c r="C71" i="237"/>
  <c r="C93" i="237" s="1"/>
  <c r="Y49" i="237"/>
  <c r="T49" i="237"/>
  <c r="Q49" i="237"/>
  <c r="C49" i="237"/>
  <c r="B49" i="237"/>
  <c r="B71" i="237" s="1"/>
  <c r="B93" i="237" s="1"/>
  <c r="U39" i="237"/>
  <c r="T39" i="237"/>
  <c r="T38" i="237"/>
  <c r="U38" i="237" s="1"/>
  <c r="T37" i="237"/>
  <c r="U37" i="237" s="1"/>
  <c r="T36" i="237"/>
  <c r="U36" i="237" s="1"/>
  <c r="U35" i="237"/>
  <c r="T35" i="237"/>
  <c r="T34" i="237"/>
  <c r="U34" i="237" s="1"/>
  <c r="T33" i="237"/>
  <c r="U33" i="237" s="1"/>
  <c r="U32" i="237"/>
  <c r="T32" i="237"/>
  <c r="U31" i="237"/>
  <c r="T31" i="237"/>
  <c r="T30" i="237"/>
  <c r="U30" i="237" s="1"/>
  <c r="T29" i="237"/>
  <c r="U29" i="237" s="1"/>
  <c r="U28" i="237"/>
  <c r="T28" i="237"/>
  <c r="Z27" i="237"/>
  <c r="Y27" i="237"/>
  <c r="Q27" i="237"/>
  <c r="P27" i="237"/>
  <c r="G27" i="237"/>
  <c r="G49" i="237" s="1"/>
  <c r="G71" i="237" s="1"/>
  <c r="G93" i="237" s="1"/>
  <c r="F27" i="237"/>
  <c r="F49" i="237" s="1"/>
  <c r="F71" i="237" s="1"/>
  <c r="F93" i="237" s="1"/>
  <c r="E27" i="237"/>
  <c r="E49" i="237" s="1"/>
  <c r="E71" i="237" s="1"/>
  <c r="E93" i="237" s="1"/>
  <c r="D27" i="237"/>
  <c r="D49" i="237" s="1"/>
  <c r="D71" i="237" s="1"/>
  <c r="D93" i="237" s="1"/>
  <c r="C27" i="237"/>
  <c r="B27" i="237"/>
  <c r="U16" i="237"/>
  <c r="T16" i="237"/>
  <c r="T15" i="237"/>
  <c r="U15" i="237" s="1"/>
  <c r="U14" i="237"/>
  <c r="T14" i="237"/>
  <c r="U13" i="237"/>
  <c r="T13" i="237"/>
  <c r="U12" i="237"/>
  <c r="T12" i="237"/>
  <c r="T11" i="237"/>
  <c r="U11" i="237" s="1"/>
  <c r="U10" i="237"/>
  <c r="T10" i="237"/>
  <c r="U9" i="237"/>
  <c r="T9" i="237"/>
  <c r="U8" i="237"/>
  <c r="T8" i="237"/>
  <c r="T7" i="237"/>
  <c r="U6" i="237"/>
  <c r="T6" i="237"/>
  <c r="U5" i="237"/>
  <c r="T5" i="237"/>
  <c r="Z4" i="237"/>
  <c r="Y4" i="237"/>
  <c r="Q4" i="237"/>
  <c r="P4" i="237"/>
  <c r="B1" i="237"/>
  <c r="K115" i="235"/>
  <c r="K116" i="235" s="1"/>
  <c r="K117" i="235" s="1"/>
  <c r="Y93" i="235"/>
  <c r="T93" i="235"/>
  <c r="Q93" i="235"/>
  <c r="G93" i="235"/>
  <c r="Y71" i="235"/>
  <c r="T71" i="235"/>
  <c r="Q71" i="235"/>
  <c r="Y49" i="235"/>
  <c r="T49" i="235"/>
  <c r="Q49" i="235"/>
  <c r="F49" i="235"/>
  <c r="F71" i="235" s="1"/>
  <c r="F93" i="235" s="1"/>
  <c r="D49" i="235"/>
  <c r="D71" i="235" s="1"/>
  <c r="D93" i="235" s="1"/>
  <c r="C49" i="235"/>
  <c r="C71" i="235" s="1"/>
  <c r="C93" i="235" s="1"/>
  <c r="U34" i="235"/>
  <c r="T34" i="235"/>
  <c r="T32" i="235"/>
  <c r="U32" i="235" s="1"/>
  <c r="T31" i="235"/>
  <c r="U30" i="235"/>
  <c r="T30" i="235"/>
  <c r="U29" i="235"/>
  <c r="T29" i="235"/>
  <c r="T28" i="235"/>
  <c r="U28" i="235" s="1"/>
  <c r="Y27" i="235"/>
  <c r="Z27" i="235" s="1"/>
  <c r="Q27" i="235"/>
  <c r="P27" i="235"/>
  <c r="G27" i="235"/>
  <c r="G49" i="235" s="1"/>
  <c r="G71" i="235" s="1"/>
  <c r="F27" i="235"/>
  <c r="E27" i="235"/>
  <c r="E49" i="235" s="1"/>
  <c r="E71" i="235" s="1"/>
  <c r="E93" i="235" s="1"/>
  <c r="D27" i="235"/>
  <c r="C27" i="235"/>
  <c r="B27" i="235"/>
  <c r="B49" i="235" s="1"/>
  <c r="B71" i="235" s="1"/>
  <c r="B93" i="235" s="1"/>
  <c r="T11" i="235"/>
  <c r="U10" i="235"/>
  <c r="T10" i="235"/>
  <c r="U9" i="235"/>
  <c r="T9" i="235"/>
  <c r="T8" i="235"/>
  <c r="U8" i="235" s="1"/>
  <c r="T7" i="235"/>
  <c r="U7" i="235" s="1"/>
  <c r="U6" i="235"/>
  <c r="T6" i="235"/>
  <c r="U5" i="235"/>
  <c r="T5" i="235"/>
  <c r="Y4" i="235"/>
  <c r="Z4" i="235" s="1"/>
  <c r="Q4" i="235"/>
  <c r="P4" i="235"/>
  <c r="B1" i="235"/>
  <c r="K115" i="234"/>
  <c r="K116" i="234" s="1"/>
  <c r="K117" i="234" s="1"/>
  <c r="Y93" i="234"/>
  <c r="T93" i="234"/>
  <c r="Q93" i="234"/>
  <c r="Y71" i="234"/>
  <c r="T71" i="234"/>
  <c r="Q71" i="234"/>
  <c r="Y49" i="234"/>
  <c r="T49" i="234"/>
  <c r="Q49" i="234"/>
  <c r="F49" i="234"/>
  <c r="F71" i="234" s="1"/>
  <c r="F93" i="234" s="1"/>
  <c r="E49" i="234"/>
  <c r="E71" i="234" s="1"/>
  <c r="E93" i="234" s="1"/>
  <c r="D49" i="234"/>
  <c r="D71" i="234" s="1"/>
  <c r="D93" i="234" s="1"/>
  <c r="C49" i="234"/>
  <c r="C71" i="234" s="1"/>
  <c r="C93" i="234" s="1"/>
  <c r="Y27" i="234"/>
  <c r="G27" i="234"/>
  <c r="G49" i="234" s="1"/>
  <c r="G71" i="234" s="1"/>
  <c r="G93" i="234" s="1"/>
  <c r="F27" i="234"/>
  <c r="E27" i="234"/>
  <c r="D27" i="234"/>
  <c r="C27" i="234"/>
  <c r="B27" i="234"/>
  <c r="B49" i="234" s="1"/>
  <c r="B71" i="234" s="1"/>
  <c r="B93" i="234" s="1"/>
  <c r="U7" i="234"/>
  <c r="T7" i="234"/>
  <c r="U6" i="234"/>
  <c r="T6" i="234"/>
  <c r="T5" i="234"/>
  <c r="T4" i="234" s="1"/>
  <c r="Y4" i="234"/>
  <c r="Z4" i="234" s="1"/>
  <c r="Q4" i="234"/>
  <c r="P4" i="234"/>
  <c r="B1" i="234"/>
  <c r="K115" i="233"/>
  <c r="K116" i="233" s="1"/>
  <c r="K117" i="233" s="1"/>
  <c r="Y93" i="233"/>
  <c r="T93" i="233"/>
  <c r="Q93" i="233"/>
  <c r="Y71" i="233"/>
  <c r="T71" i="233"/>
  <c r="Q71" i="233"/>
  <c r="Y49" i="233"/>
  <c r="T49" i="233"/>
  <c r="Q49" i="233"/>
  <c r="G49" i="233"/>
  <c r="G71" i="233" s="1"/>
  <c r="G93" i="233" s="1"/>
  <c r="F49" i="233"/>
  <c r="F71" i="233" s="1"/>
  <c r="F93" i="233" s="1"/>
  <c r="E49" i="233"/>
  <c r="E71" i="233" s="1"/>
  <c r="E93" i="233" s="1"/>
  <c r="B49" i="233"/>
  <c r="B71" i="233" s="1"/>
  <c r="B93" i="233" s="1"/>
  <c r="T34" i="233"/>
  <c r="U34" i="233" s="1"/>
  <c r="T33" i="233"/>
  <c r="U33" i="233" s="1"/>
  <c r="U32" i="233"/>
  <c r="T32" i="233"/>
  <c r="T31" i="233"/>
  <c r="U31" i="233" s="1"/>
  <c r="T30" i="233"/>
  <c r="U30" i="233" s="1"/>
  <c r="U29" i="233"/>
  <c r="T29" i="233"/>
  <c r="U28" i="233"/>
  <c r="T28" i="233"/>
  <c r="T27" i="233" s="1"/>
  <c r="Y27" i="233"/>
  <c r="Z27" i="233" s="1"/>
  <c r="Q27" i="233"/>
  <c r="P27" i="233"/>
  <c r="G27" i="233"/>
  <c r="F27" i="233"/>
  <c r="E27" i="233"/>
  <c r="D27" i="233"/>
  <c r="D49" i="233" s="1"/>
  <c r="D71" i="233" s="1"/>
  <c r="D93" i="233" s="1"/>
  <c r="C27" i="233"/>
  <c r="C49" i="233" s="1"/>
  <c r="C71" i="233" s="1"/>
  <c r="C93" i="233" s="1"/>
  <c r="B27" i="233"/>
  <c r="U17" i="233"/>
  <c r="T17" i="233"/>
  <c r="U16" i="233"/>
  <c r="T16" i="233"/>
  <c r="U15" i="233"/>
  <c r="T15" i="233"/>
  <c r="U14" i="233"/>
  <c r="T14" i="233"/>
  <c r="U13" i="233"/>
  <c r="T13" i="233"/>
  <c r="U12" i="233"/>
  <c r="T12" i="233"/>
  <c r="U11" i="233"/>
  <c r="T11" i="233"/>
  <c r="U10" i="233"/>
  <c r="T10" i="233"/>
  <c r="U9" i="233"/>
  <c r="U8" i="233"/>
  <c r="T8" i="233"/>
  <c r="U7" i="233"/>
  <c r="T7" i="233"/>
  <c r="T6" i="233"/>
  <c r="U6" i="233" s="1"/>
  <c r="T5" i="233"/>
  <c r="Y4" i="233"/>
  <c r="Y115" i="233" s="1"/>
  <c r="Q4" i="233"/>
  <c r="P4" i="233"/>
  <c r="B1" i="233"/>
  <c r="Y115" i="232"/>
  <c r="K115" i="232"/>
  <c r="K116" i="232" s="1"/>
  <c r="K117" i="232" s="1"/>
  <c r="Y93" i="232"/>
  <c r="T93" i="232"/>
  <c r="Q93" i="232"/>
  <c r="B93" i="232"/>
  <c r="Y71" i="232"/>
  <c r="T71" i="232"/>
  <c r="Q71" i="232"/>
  <c r="C71" i="232"/>
  <c r="C93" i="232" s="1"/>
  <c r="Y49" i="232"/>
  <c r="T49" i="232"/>
  <c r="Q49" i="232"/>
  <c r="F49" i="232"/>
  <c r="F71" i="232" s="1"/>
  <c r="F93" i="232" s="1"/>
  <c r="E49" i="232"/>
  <c r="E71" i="232" s="1"/>
  <c r="E93" i="232" s="1"/>
  <c r="D49" i="232"/>
  <c r="D71" i="232" s="1"/>
  <c r="D93" i="232" s="1"/>
  <c r="U39" i="232"/>
  <c r="T39" i="232"/>
  <c r="U38" i="232"/>
  <c r="T38" i="232"/>
  <c r="U37" i="232"/>
  <c r="T37" i="232"/>
  <c r="U36" i="232"/>
  <c r="T36" i="232"/>
  <c r="U35" i="232"/>
  <c r="T35" i="232"/>
  <c r="U34" i="232"/>
  <c r="T34" i="232"/>
  <c r="U33" i="232"/>
  <c r="T33" i="232"/>
  <c r="T32" i="232"/>
  <c r="U32" i="232" s="1"/>
  <c r="U31" i="232"/>
  <c r="T31" i="232"/>
  <c r="U30" i="232"/>
  <c r="T30" i="232"/>
  <c r="U29" i="232"/>
  <c r="T29" i="232"/>
  <c r="T27" i="232" s="1"/>
  <c r="T28" i="232"/>
  <c r="U28" i="232" s="1"/>
  <c r="Z27" i="232"/>
  <c r="Y27" i="232"/>
  <c r="Q27" i="232"/>
  <c r="P27" i="232"/>
  <c r="G27" i="232"/>
  <c r="G49" i="232" s="1"/>
  <c r="G71" i="232" s="1"/>
  <c r="G93" i="232" s="1"/>
  <c r="F27" i="232"/>
  <c r="E27" i="232"/>
  <c r="D27" i="232"/>
  <c r="C27" i="232"/>
  <c r="C49" i="232" s="1"/>
  <c r="B27" i="232"/>
  <c r="B49" i="232" s="1"/>
  <c r="B71" i="232" s="1"/>
  <c r="T17" i="232"/>
  <c r="U17" i="232" s="1"/>
  <c r="U16" i="232"/>
  <c r="T16" i="232"/>
  <c r="T15" i="232"/>
  <c r="U15" i="232" s="1"/>
  <c r="T14" i="232"/>
  <c r="U14" i="232" s="1"/>
  <c r="T13" i="232"/>
  <c r="U13" i="232" s="1"/>
  <c r="U12" i="232"/>
  <c r="T12" i="232"/>
  <c r="T11" i="232"/>
  <c r="U11" i="232" s="1"/>
  <c r="T10" i="232"/>
  <c r="U10" i="232" s="1"/>
  <c r="U9" i="232"/>
  <c r="T9" i="232"/>
  <c r="U8" i="232"/>
  <c r="T8" i="232"/>
  <c r="T7" i="232"/>
  <c r="U7" i="232" s="1"/>
  <c r="T6" i="232"/>
  <c r="U6" i="232" s="1"/>
  <c r="U5" i="232"/>
  <c r="T5" i="232"/>
  <c r="Z4" i="232"/>
  <c r="Y4" i="232"/>
  <c r="Q4" i="232"/>
  <c r="P4" i="232"/>
  <c r="B1" i="232"/>
  <c r="K106" i="231"/>
  <c r="K107" i="231" s="1"/>
  <c r="K105" i="231"/>
  <c r="Y83" i="231"/>
  <c r="T83" i="231"/>
  <c r="Q83" i="231"/>
  <c r="G83" i="231"/>
  <c r="F83" i="231"/>
  <c r="Y61" i="231"/>
  <c r="T61" i="231"/>
  <c r="Q61" i="231"/>
  <c r="F61" i="231"/>
  <c r="T48" i="231"/>
  <c r="U48" i="231" s="1"/>
  <c r="U47" i="231"/>
  <c r="T47" i="231"/>
  <c r="U46" i="231"/>
  <c r="T46" i="231"/>
  <c r="T45" i="231"/>
  <c r="U45" i="231" s="1"/>
  <c r="T44" i="231"/>
  <c r="U44" i="231" s="1"/>
  <c r="T43" i="231"/>
  <c r="T39" i="231" s="1"/>
  <c r="U42" i="231"/>
  <c r="T42" i="231"/>
  <c r="T41" i="231"/>
  <c r="U41" i="231" s="1"/>
  <c r="T40" i="231"/>
  <c r="U40" i="231" s="1"/>
  <c r="Y39" i="231"/>
  <c r="Q39" i="231"/>
  <c r="P39" i="231"/>
  <c r="B39" i="231"/>
  <c r="B61" i="231" s="1"/>
  <c r="B83" i="231" s="1"/>
  <c r="U29" i="231"/>
  <c r="U28" i="231"/>
  <c r="U27" i="231"/>
  <c r="T27" i="231"/>
  <c r="U26" i="231"/>
  <c r="T26" i="231"/>
  <c r="T25" i="231"/>
  <c r="U25" i="231" s="1"/>
  <c r="U24" i="231"/>
  <c r="T24" i="231"/>
  <c r="U23" i="231"/>
  <c r="T23" i="231"/>
  <c r="U22" i="231"/>
  <c r="T22" i="231"/>
  <c r="T21" i="231"/>
  <c r="U21" i="231" s="1"/>
  <c r="U20" i="231"/>
  <c r="T20" i="231"/>
  <c r="U19" i="231"/>
  <c r="T19" i="231"/>
  <c r="U18" i="231"/>
  <c r="T18" i="231"/>
  <c r="Y17" i="231"/>
  <c r="Z17" i="231" s="1"/>
  <c r="Q17" i="231"/>
  <c r="P17" i="231"/>
  <c r="G17" i="231"/>
  <c r="G39" i="231" s="1"/>
  <c r="G61" i="231" s="1"/>
  <c r="F17" i="231"/>
  <c r="F39" i="231" s="1"/>
  <c r="E17" i="231"/>
  <c r="E39" i="231" s="1"/>
  <c r="E61" i="231" s="1"/>
  <c r="E83" i="231" s="1"/>
  <c r="D17" i="231"/>
  <c r="D39" i="231" s="1"/>
  <c r="D61" i="231" s="1"/>
  <c r="D83" i="231" s="1"/>
  <c r="C17" i="231"/>
  <c r="C39" i="231" s="1"/>
  <c r="C61" i="231" s="1"/>
  <c r="C83" i="231" s="1"/>
  <c r="B17" i="231"/>
  <c r="U16" i="231"/>
  <c r="U15" i="231"/>
  <c r="T15" i="231"/>
  <c r="U14" i="231"/>
  <c r="T14" i="231"/>
  <c r="T13" i="231"/>
  <c r="U13" i="231" s="1"/>
  <c r="T12" i="231"/>
  <c r="U12" i="231" s="1"/>
  <c r="T11" i="231"/>
  <c r="U11" i="231" s="1"/>
  <c r="T10" i="231"/>
  <c r="U10" i="231" s="1"/>
  <c r="U9" i="231"/>
  <c r="T9" i="231"/>
  <c r="T8" i="231"/>
  <c r="U8" i="231" s="1"/>
  <c r="T7" i="231"/>
  <c r="U7" i="231" s="1"/>
  <c r="T6" i="231"/>
  <c r="U6" i="231" s="1"/>
  <c r="U5" i="231"/>
  <c r="T5" i="231"/>
  <c r="Y4" i="231"/>
  <c r="Z4" i="231" s="1"/>
  <c r="Q4" i="231"/>
  <c r="P4" i="231"/>
  <c r="B1" i="231"/>
  <c r="K116" i="230"/>
  <c r="K117" i="230" s="1"/>
  <c r="K115" i="230"/>
  <c r="Y93" i="230"/>
  <c r="Y115" i="230" s="1"/>
  <c r="T93" i="230"/>
  <c r="Q93" i="230"/>
  <c r="Y71" i="230"/>
  <c r="T71" i="230"/>
  <c r="Q71" i="230"/>
  <c r="Y49" i="230"/>
  <c r="T49" i="230"/>
  <c r="Q49" i="230"/>
  <c r="G49" i="230"/>
  <c r="G71" i="230" s="1"/>
  <c r="G93" i="230" s="1"/>
  <c r="E49" i="230"/>
  <c r="E71" i="230" s="1"/>
  <c r="E93" i="230" s="1"/>
  <c r="B49" i="230"/>
  <c r="B71" i="230" s="1"/>
  <c r="B93" i="230" s="1"/>
  <c r="Y27" i="230"/>
  <c r="G27" i="230"/>
  <c r="F27" i="230"/>
  <c r="F49" i="230" s="1"/>
  <c r="F71" i="230" s="1"/>
  <c r="F93" i="230" s="1"/>
  <c r="E27" i="230"/>
  <c r="D27" i="230"/>
  <c r="D49" i="230" s="1"/>
  <c r="D71" i="230" s="1"/>
  <c r="D93" i="230" s="1"/>
  <c r="C27" i="230"/>
  <c r="C49" i="230" s="1"/>
  <c r="C71" i="230" s="1"/>
  <c r="C93" i="230" s="1"/>
  <c r="B27" i="230"/>
  <c r="U15" i="230"/>
  <c r="T15" i="230"/>
  <c r="T14" i="230"/>
  <c r="U14" i="230" s="1"/>
  <c r="T13" i="230"/>
  <c r="U13" i="230" s="1"/>
  <c r="T12" i="230"/>
  <c r="U12" i="230" s="1"/>
  <c r="U11" i="230"/>
  <c r="T11" i="230"/>
  <c r="U10" i="230"/>
  <c r="T10" i="230"/>
  <c r="T9" i="230"/>
  <c r="U9" i="230" s="1"/>
  <c r="T8" i="230"/>
  <c r="U8" i="230" s="1"/>
  <c r="T7" i="230"/>
  <c r="U7" i="230" s="1"/>
  <c r="U6" i="230"/>
  <c r="T6" i="230"/>
  <c r="T5" i="230"/>
  <c r="U5" i="230" s="1"/>
  <c r="Y4" i="230"/>
  <c r="Z4" i="230" s="1"/>
  <c r="Q4" i="230"/>
  <c r="P4" i="230"/>
  <c r="B1" i="230"/>
  <c r="K116" i="229"/>
  <c r="K117" i="229" s="1"/>
  <c r="K115" i="229"/>
  <c r="Y93" i="229"/>
  <c r="T93" i="229"/>
  <c r="Q93" i="229"/>
  <c r="E93" i="229"/>
  <c r="Y71" i="229"/>
  <c r="T71" i="229"/>
  <c r="Q71" i="229"/>
  <c r="Y49" i="229"/>
  <c r="T49" i="229"/>
  <c r="Q49" i="229"/>
  <c r="G49" i="229"/>
  <c r="G71" i="229" s="1"/>
  <c r="G93" i="229" s="1"/>
  <c r="U38" i="229"/>
  <c r="T38" i="229"/>
  <c r="U37" i="229"/>
  <c r="T37" i="229"/>
  <c r="T36" i="229"/>
  <c r="U36" i="229" s="1"/>
  <c r="U35" i="229"/>
  <c r="T35" i="229"/>
  <c r="U34" i="229"/>
  <c r="T34" i="229"/>
  <c r="U33" i="229"/>
  <c r="T33" i="229"/>
  <c r="T32" i="229"/>
  <c r="U32" i="229" s="1"/>
  <c r="U31" i="229"/>
  <c r="T31" i="229"/>
  <c r="U30" i="229"/>
  <c r="T30" i="229"/>
  <c r="U29" i="229"/>
  <c r="T29" i="229"/>
  <c r="T28" i="229"/>
  <c r="Z27" i="229"/>
  <c r="Y27" i="229"/>
  <c r="Q27" i="229"/>
  <c r="P27" i="229"/>
  <c r="G27" i="229"/>
  <c r="F27" i="229"/>
  <c r="F49" i="229" s="1"/>
  <c r="F71" i="229" s="1"/>
  <c r="F93" i="229" s="1"/>
  <c r="E27" i="229"/>
  <c r="E49" i="229" s="1"/>
  <c r="E71" i="229" s="1"/>
  <c r="D27" i="229"/>
  <c r="D49" i="229" s="1"/>
  <c r="D71" i="229" s="1"/>
  <c r="D93" i="229" s="1"/>
  <c r="C27" i="229"/>
  <c r="C49" i="229" s="1"/>
  <c r="C71" i="229" s="1"/>
  <c r="C93" i="229" s="1"/>
  <c r="B27" i="229"/>
  <c r="B49" i="229" s="1"/>
  <c r="B71" i="229" s="1"/>
  <c r="B93" i="229" s="1"/>
  <c r="T16" i="229"/>
  <c r="U16" i="229" s="1"/>
  <c r="T15" i="229"/>
  <c r="U15" i="229" s="1"/>
  <c r="T14" i="229"/>
  <c r="U14" i="229" s="1"/>
  <c r="T13" i="229"/>
  <c r="U13" i="229" s="1"/>
  <c r="T12" i="229"/>
  <c r="U12" i="229" s="1"/>
  <c r="T11" i="229"/>
  <c r="U11" i="229" s="1"/>
  <c r="T10" i="229"/>
  <c r="U10" i="229" s="1"/>
  <c r="T9" i="229"/>
  <c r="U9" i="229" s="1"/>
  <c r="T8" i="229"/>
  <c r="U8" i="229" s="1"/>
  <c r="T7" i="229"/>
  <c r="U7" i="229" s="1"/>
  <c r="U6" i="229"/>
  <c r="T6" i="229"/>
  <c r="T5" i="229"/>
  <c r="Y4" i="229"/>
  <c r="Z4" i="229" s="1"/>
  <c r="Q4" i="229"/>
  <c r="P4" i="229"/>
  <c r="B1" i="229"/>
  <c r="K117" i="228"/>
  <c r="K116" i="228"/>
  <c r="K115" i="228"/>
  <c r="Y93" i="228"/>
  <c r="T93" i="228"/>
  <c r="Q93" i="228"/>
  <c r="E93" i="228"/>
  <c r="Y71" i="228"/>
  <c r="T71" i="228"/>
  <c r="Q71" i="228"/>
  <c r="F71" i="228"/>
  <c r="F93" i="228" s="1"/>
  <c r="D71" i="228"/>
  <c r="D93" i="228" s="1"/>
  <c r="Y49" i="228"/>
  <c r="T49" i="228"/>
  <c r="Q49" i="228"/>
  <c r="E49" i="228"/>
  <c r="E71" i="228" s="1"/>
  <c r="C49" i="228"/>
  <c r="C71" i="228" s="1"/>
  <c r="C93" i="228" s="1"/>
  <c r="B49" i="228"/>
  <c r="B71" i="228" s="1"/>
  <c r="B93" i="228" s="1"/>
  <c r="Y27" i="228"/>
  <c r="G27" i="228"/>
  <c r="G49" i="228" s="1"/>
  <c r="G71" i="228" s="1"/>
  <c r="G93" i="228" s="1"/>
  <c r="F27" i="228"/>
  <c r="F49" i="228" s="1"/>
  <c r="E27" i="228"/>
  <c r="D27" i="228"/>
  <c r="D49" i="228" s="1"/>
  <c r="C27" i="228"/>
  <c r="B27" i="228"/>
  <c r="T11" i="228"/>
  <c r="U11" i="228" s="1"/>
  <c r="U10" i="228"/>
  <c r="T10" i="228"/>
  <c r="T9" i="228"/>
  <c r="U9" i="228" s="1"/>
  <c r="T8" i="228"/>
  <c r="U8" i="228" s="1"/>
  <c r="T7" i="228"/>
  <c r="U7" i="228" s="1"/>
  <c r="U6" i="228"/>
  <c r="T6" i="228"/>
  <c r="T5" i="228"/>
  <c r="U5" i="228" s="1"/>
  <c r="Y4" i="228"/>
  <c r="Z4" i="228" s="1"/>
  <c r="Q4" i="228"/>
  <c r="P4" i="228"/>
  <c r="B1" i="228"/>
  <c r="K116" i="227"/>
  <c r="K117" i="227" s="1"/>
  <c r="K115" i="227"/>
  <c r="Y93" i="227"/>
  <c r="T93" i="227"/>
  <c r="Q93" i="227"/>
  <c r="Y71" i="227"/>
  <c r="T71" i="227"/>
  <c r="Q71" i="227"/>
  <c r="Y49" i="227"/>
  <c r="T49" i="227"/>
  <c r="Q49" i="227"/>
  <c r="G49" i="227"/>
  <c r="G71" i="227" s="1"/>
  <c r="G93" i="227" s="1"/>
  <c r="E49" i="227"/>
  <c r="E71" i="227" s="1"/>
  <c r="E93" i="227" s="1"/>
  <c r="D49" i="227"/>
  <c r="D71" i="227" s="1"/>
  <c r="D93" i="227" s="1"/>
  <c r="B49" i="227"/>
  <c r="B71" i="227" s="1"/>
  <c r="B93" i="227" s="1"/>
  <c r="Y27" i="227"/>
  <c r="G27" i="227"/>
  <c r="F27" i="227"/>
  <c r="F49" i="227" s="1"/>
  <c r="F71" i="227" s="1"/>
  <c r="F93" i="227" s="1"/>
  <c r="E27" i="227"/>
  <c r="D27" i="227"/>
  <c r="C27" i="227"/>
  <c r="C49" i="227" s="1"/>
  <c r="C71" i="227" s="1"/>
  <c r="C93" i="227" s="1"/>
  <c r="B27" i="227"/>
  <c r="T16" i="227"/>
  <c r="U16" i="227" s="1"/>
  <c r="T15" i="227"/>
  <c r="U15" i="227" s="1"/>
  <c r="T14" i="227"/>
  <c r="U14" i="227" s="1"/>
  <c r="U13" i="227"/>
  <c r="T13" i="227"/>
  <c r="U12" i="227"/>
  <c r="T12" i="227"/>
  <c r="T11" i="227"/>
  <c r="U11" i="227" s="1"/>
  <c r="T10" i="227"/>
  <c r="U10" i="227" s="1"/>
  <c r="T9" i="227"/>
  <c r="U9" i="227" s="1"/>
  <c r="U8" i="227"/>
  <c r="T8" i="227"/>
  <c r="T7" i="227"/>
  <c r="U7" i="227" s="1"/>
  <c r="T6" i="227"/>
  <c r="U6" i="227" s="1"/>
  <c r="T5" i="227"/>
  <c r="Y4" i="227"/>
  <c r="Z4" i="227" s="1"/>
  <c r="Q4" i="227"/>
  <c r="P4" i="227"/>
  <c r="B1" i="227"/>
  <c r="K115" i="226"/>
  <c r="K116" i="226" s="1"/>
  <c r="K117" i="226" s="1"/>
  <c r="Y93" i="226"/>
  <c r="T93" i="226"/>
  <c r="Q93" i="226"/>
  <c r="C93" i="226"/>
  <c r="Y71" i="226"/>
  <c r="Y115" i="226" s="1"/>
  <c r="T71" i="226"/>
  <c r="Q71" i="226"/>
  <c r="B71" i="226"/>
  <c r="B93" i="226" s="1"/>
  <c r="Y49" i="226"/>
  <c r="T49" i="226"/>
  <c r="Q49" i="226"/>
  <c r="C49" i="226"/>
  <c r="C71" i="226" s="1"/>
  <c r="Y27" i="226"/>
  <c r="G27" i="226"/>
  <c r="G49" i="226" s="1"/>
  <c r="G71" i="226" s="1"/>
  <c r="G93" i="226" s="1"/>
  <c r="F27" i="226"/>
  <c r="F49" i="226" s="1"/>
  <c r="F71" i="226" s="1"/>
  <c r="F93" i="226" s="1"/>
  <c r="E27" i="226"/>
  <c r="E49" i="226" s="1"/>
  <c r="E71" i="226" s="1"/>
  <c r="E93" i="226" s="1"/>
  <c r="D27" i="226"/>
  <c r="D49" i="226" s="1"/>
  <c r="D71" i="226" s="1"/>
  <c r="D93" i="226" s="1"/>
  <c r="C27" i="226"/>
  <c r="B27" i="226"/>
  <c r="B49" i="226" s="1"/>
  <c r="T9" i="226"/>
  <c r="U9" i="226" s="1"/>
  <c r="T8" i="226"/>
  <c r="U8" i="226" s="1"/>
  <c r="T7" i="226"/>
  <c r="U7" i="226" s="1"/>
  <c r="T6" i="226"/>
  <c r="U6" i="226" s="1"/>
  <c r="T5" i="226"/>
  <c r="U5" i="226" s="1"/>
  <c r="Y4" i="226"/>
  <c r="Z4" i="226" s="1"/>
  <c r="Q4" i="226"/>
  <c r="P4" i="226"/>
  <c r="B1" i="226"/>
  <c r="K115" i="225"/>
  <c r="K116" i="225" s="1"/>
  <c r="K117" i="225" s="1"/>
  <c r="Y93" i="225"/>
  <c r="T93" i="225"/>
  <c r="Q93" i="225"/>
  <c r="G93" i="225"/>
  <c r="Y71" i="225"/>
  <c r="T71" i="225"/>
  <c r="Q71" i="225"/>
  <c r="D71" i="225"/>
  <c r="D93" i="225" s="1"/>
  <c r="Y49" i="225"/>
  <c r="T49" i="225"/>
  <c r="Q49" i="225"/>
  <c r="G49" i="225"/>
  <c r="G71" i="225" s="1"/>
  <c r="F49" i="225"/>
  <c r="F71" i="225" s="1"/>
  <c r="F93" i="225" s="1"/>
  <c r="E49" i="225"/>
  <c r="E71" i="225" s="1"/>
  <c r="E93" i="225" s="1"/>
  <c r="Y27" i="225"/>
  <c r="G27" i="225"/>
  <c r="F27" i="225"/>
  <c r="E27" i="225"/>
  <c r="D27" i="225"/>
  <c r="D49" i="225" s="1"/>
  <c r="C27" i="225"/>
  <c r="C49" i="225" s="1"/>
  <c r="C71" i="225" s="1"/>
  <c r="C93" i="225" s="1"/>
  <c r="B27" i="225"/>
  <c r="B49" i="225" s="1"/>
  <c r="B71" i="225" s="1"/>
  <c r="B93" i="225" s="1"/>
  <c r="T7" i="225"/>
  <c r="U7" i="225" s="1"/>
  <c r="T6" i="225"/>
  <c r="U6" i="225" s="1"/>
  <c r="T5" i="225"/>
  <c r="Y4" i="225"/>
  <c r="Y115" i="225" s="1"/>
  <c r="Q4" i="225"/>
  <c r="P4" i="225"/>
  <c r="B1" i="225"/>
  <c r="K115" i="224"/>
  <c r="K116" i="224" s="1"/>
  <c r="K117" i="224" s="1"/>
  <c r="Y93" i="224"/>
  <c r="T93" i="224"/>
  <c r="Q93" i="224"/>
  <c r="C93" i="224"/>
  <c r="Y71" i="224"/>
  <c r="T71" i="224"/>
  <c r="Q71" i="224"/>
  <c r="B71" i="224"/>
  <c r="B93" i="224" s="1"/>
  <c r="Y49" i="224"/>
  <c r="T49" i="224"/>
  <c r="Q49" i="224"/>
  <c r="C49" i="224"/>
  <c r="C71" i="224" s="1"/>
  <c r="Y27" i="224"/>
  <c r="G27" i="224"/>
  <c r="G49" i="224" s="1"/>
  <c r="G71" i="224" s="1"/>
  <c r="G93" i="224" s="1"/>
  <c r="F27" i="224"/>
  <c r="F49" i="224" s="1"/>
  <c r="F71" i="224" s="1"/>
  <c r="F93" i="224" s="1"/>
  <c r="E27" i="224"/>
  <c r="E49" i="224" s="1"/>
  <c r="E71" i="224" s="1"/>
  <c r="E93" i="224" s="1"/>
  <c r="D27" i="224"/>
  <c r="D49" i="224" s="1"/>
  <c r="D71" i="224" s="1"/>
  <c r="D93" i="224" s="1"/>
  <c r="C27" i="224"/>
  <c r="B27" i="224"/>
  <c r="B49" i="224" s="1"/>
  <c r="T14" i="224"/>
  <c r="U14" i="224" s="1"/>
  <c r="U13" i="224"/>
  <c r="T13" i="224"/>
  <c r="U12" i="224"/>
  <c r="T12" i="224"/>
  <c r="T11" i="224"/>
  <c r="U11" i="224" s="1"/>
  <c r="T10" i="224"/>
  <c r="U10" i="224" s="1"/>
  <c r="T9" i="224"/>
  <c r="U9" i="224" s="1"/>
  <c r="T8" i="224"/>
  <c r="U8" i="224" s="1"/>
  <c r="T7" i="224"/>
  <c r="U7" i="224" s="1"/>
  <c r="U6" i="224"/>
  <c r="T6" i="224"/>
  <c r="T5" i="224"/>
  <c r="Y4" i="224"/>
  <c r="Z4" i="224" s="1"/>
  <c r="Q4" i="224"/>
  <c r="P4" i="224"/>
  <c r="B1" i="224"/>
  <c r="K115" i="223"/>
  <c r="K116" i="223" s="1"/>
  <c r="K117" i="223" s="1"/>
  <c r="Y93" i="223"/>
  <c r="Y115" i="223" s="1"/>
  <c r="T93" i="223"/>
  <c r="Q93" i="223"/>
  <c r="B93" i="223"/>
  <c r="Y71" i="223"/>
  <c r="T71" i="223"/>
  <c r="Q71" i="223"/>
  <c r="Y49" i="223"/>
  <c r="T49" i="223"/>
  <c r="Q49" i="223"/>
  <c r="F49" i="223"/>
  <c r="F71" i="223" s="1"/>
  <c r="F93" i="223" s="1"/>
  <c r="E49" i="223"/>
  <c r="E71" i="223" s="1"/>
  <c r="E93" i="223" s="1"/>
  <c r="D49" i="223"/>
  <c r="D71" i="223" s="1"/>
  <c r="D93" i="223" s="1"/>
  <c r="B49" i="223"/>
  <c r="B71" i="223" s="1"/>
  <c r="Y27" i="223"/>
  <c r="G27" i="223"/>
  <c r="G49" i="223" s="1"/>
  <c r="G71" i="223" s="1"/>
  <c r="G93" i="223" s="1"/>
  <c r="F27" i="223"/>
  <c r="E27" i="223"/>
  <c r="D27" i="223"/>
  <c r="C27" i="223"/>
  <c r="C49" i="223" s="1"/>
  <c r="C71" i="223" s="1"/>
  <c r="C93" i="223" s="1"/>
  <c r="B27" i="223"/>
  <c r="U11" i="223"/>
  <c r="T11" i="223"/>
  <c r="U10" i="223"/>
  <c r="T10" i="223"/>
  <c r="T9" i="223"/>
  <c r="U9" i="223" s="1"/>
  <c r="T8" i="223"/>
  <c r="U8" i="223" s="1"/>
  <c r="U7" i="223"/>
  <c r="T7" i="223"/>
  <c r="U6" i="223"/>
  <c r="T6" i="223"/>
  <c r="T5" i="223"/>
  <c r="U5" i="223" s="1"/>
  <c r="Y4" i="223"/>
  <c r="Z4" i="223" s="1"/>
  <c r="T4" i="223"/>
  <c r="Q4" i="223"/>
  <c r="P4" i="223"/>
  <c r="B1" i="223"/>
  <c r="K115" i="222"/>
  <c r="K116" i="222" s="1"/>
  <c r="K117" i="222" s="1"/>
  <c r="Y93" i="222"/>
  <c r="Y115" i="222" s="1"/>
  <c r="T93" i="222"/>
  <c r="Q93" i="222"/>
  <c r="B93" i="222"/>
  <c r="Y71" i="222"/>
  <c r="T71" i="222"/>
  <c r="Q71" i="222"/>
  <c r="D71" i="222"/>
  <c r="D93" i="222" s="1"/>
  <c r="Y49" i="222"/>
  <c r="T49" i="222"/>
  <c r="Q49" i="222"/>
  <c r="F49" i="222"/>
  <c r="F71" i="222" s="1"/>
  <c r="F93" i="222" s="1"/>
  <c r="D49" i="222"/>
  <c r="Y27" i="222"/>
  <c r="G27" i="222"/>
  <c r="G49" i="222" s="1"/>
  <c r="G71" i="222" s="1"/>
  <c r="G93" i="222" s="1"/>
  <c r="F27" i="222"/>
  <c r="E27" i="222"/>
  <c r="E49" i="222" s="1"/>
  <c r="E71" i="222" s="1"/>
  <c r="E93" i="222" s="1"/>
  <c r="D27" i="222"/>
  <c r="C27" i="222"/>
  <c r="C49" i="222" s="1"/>
  <c r="C71" i="222" s="1"/>
  <c r="C93" i="222" s="1"/>
  <c r="B27" i="222"/>
  <c r="B49" i="222" s="1"/>
  <c r="B71" i="222" s="1"/>
  <c r="U16" i="222"/>
  <c r="T16" i="222"/>
  <c r="U15" i="222"/>
  <c r="T15" i="222"/>
  <c r="U14" i="222"/>
  <c r="T14" i="222"/>
  <c r="U13" i="222"/>
  <c r="T13" i="222"/>
  <c r="U12" i="222"/>
  <c r="T12" i="222"/>
  <c r="U11" i="222"/>
  <c r="T11" i="222"/>
  <c r="U10" i="222"/>
  <c r="T10" i="222"/>
  <c r="U9" i="222"/>
  <c r="T9" i="222"/>
  <c r="U8" i="222"/>
  <c r="T8" i="222"/>
  <c r="U7" i="222"/>
  <c r="T7" i="222"/>
  <c r="U6" i="222"/>
  <c r="T6" i="222"/>
  <c r="U5" i="222"/>
  <c r="T5" i="222"/>
  <c r="T4" i="222" s="1"/>
  <c r="Z4" i="222"/>
  <c r="Y4" i="222"/>
  <c r="Q4" i="222"/>
  <c r="P4" i="222"/>
  <c r="B1" i="222"/>
  <c r="K117" i="221"/>
  <c r="K116" i="221"/>
  <c r="K115" i="221"/>
  <c r="Y93" i="221"/>
  <c r="T93" i="221"/>
  <c r="Q93" i="221"/>
  <c r="F93" i="221"/>
  <c r="Y71" i="221"/>
  <c r="T71" i="221"/>
  <c r="Q71" i="221"/>
  <c r="Y49" i="221"/>
  <c r="T49" i="221"/>
  <c r="Q49" i="221"/>
  <c r="D49" i="221"/>
  <c r="D71" i="221" s="1"/>
  <c r="D93" i="221" s="1"/>
  <c r="B49" i="221"/>
  <c r="B71" i="221" s="1"/>
  <c r="B93" i="221" s="1"/>
  <c r="Y27" i="221"/>
  <c r="G27" i="221"/>
  <c r="G49" i="221" s="1"/>
  <c r="G71" i="221" s="1"/>
  <c r="G93" i="221" s="1"/>
  <c r="F27" i="221"/>
  <c r="F49" i="221" s="1"/>
  <c r="F71" i="221" s="1"/>
  <c r="E27" i="221"/>
  <c r="E49" i="221" s="1"/>
  <c r="E71" i="221" s="1"/>
  <c r="E93" i="221" s="1"/>
  <c r="D27" i="221"/>
  <c r="C27" i="221"/>
  <c r="C49" i="221" s="1"/>
  <c r="C71" i="221" s="1"/>
  <c r="C93" i="221" s="1"/>
  <c r="B27" i="221"/>
  <c r="T11" i="221"/>
  <c r="U11" i="221" s="1"/>
  <c r="U10" i="221"/>
  <c r="T10" i="221"/>
  <c r="U9" i="221"/>
  <c r="T9" i="221"/>
  <c r="U8" i="221"/>
  <c r="T8" i="221"/>
  <c r="T7" i="221"/>
  <c r="U6" i="221"/>
  <c r="T6" i="221"/>
  <c r="U5" i="221"/>
  <c r="T5" i="221"/>
  <c r="Z4" i="221"/>
  <c r="Y4" i="221"/>
  <c r="Q4" i="221"/>
  <c r="P4" i="221"/>
  <c r="B1" i="221"/>
  <c r="K115" i="220"/>
  <c r="K116" i="220" s="1"/>
  <c r="K117" i="220" s="1"/>
  <c r="Y93" i="220"/>
  <c r="T93" i="220"/>
  <c r="Q93" i="220"/>
  <c r="Y71" i="220"/>
  <c r="T71" i="220"/>
  <c r="Q71" i="220"/>
  <c r="Y49" i="220"/>
  <c r="T49" i="220"/>
  <c r="Q49" i="220"/>
  <c r="F49" i="220"/>
  <c r="F71" i="220" s="1"/>
  <c r="F93" i="220" s="1"/>
  <c r="D49" i="220"/>
  <c r="D71" i="220" s="1"/>
  <c r="D93" i="220" s="1"/>
  <c r="B49" i="220"/>
  <c r="B71" i="220" s="1"/>
  <c r="B93" i="220" s="1"/>
  <c r="Y27" i="220"/>
  <c r="G27" i="220"/>
  <c r="G49" i="220" s="1"/>
  <c r="G71" i="220" s="1"/>
  <c r="G93" i="220" s="1"/>
  <c r="F27" i="220"/>
  <c r="E27" i="220"/>
  <c r="E49" i="220" s="1"/>
  <c r="E71" i="220" s="1"/>
  <c r="E93" i="220" s="1"/>
  <c r="D27" i="220"/>
  <c r="C27" i="220"/>
  <c r="C49" i="220" s="1"/>
  <c r="C71" i="220" s="1"/>
  <c r="C93" i="220" s="1"/>
  <c r="B27" i="220"/>
  <c r="U16" i="220"/>
  <c r="T16" i="220"/>
  <c r="U15" i="220"/>
  <c r="T15" i="220"/>
  <c r="U14" i="220"/>
  <c r="T14" i="220"/>
  <c r="U13" i="220"/>
  <c r="T13" i="220"/>
  <c r="U12" i="220"/>
  <c r="T12" i="220"/>
  <c r="U11" i="220"/>
  <c r="T11" i="220"/>
  <c r="U10" i="220"/>
  <c r="T10" i="220"/>
  <c r="U9" i="220"/>
  <c r="T9" i="220"/>
  <c r="U8" i="220"/>
  <c r="T8" i="220"/>
  <c r="U7" i="220"/>
  <c r="T7" i="220"/>
  <c r="U6" i="220"/>
  <c r="T6" i="220"/>
  <c r="U5" i="220"/>
  <c r="T5" i="220"/>
  <c r="T4" i="220" s="1"/>
  <c r="Z4" i="220"/>
  <c r="Y4" i="220"/>
  <c r="Q4" i="220"/>
  <c r="P4" i="220"/>
  <c r="B1" i="220"/>
  <c r="K117" i="219"/>
  <c r="K116" i="219"/>
  <c r="Y115" i="219"/>
  <c r="K115" i="219"/>
  <c r="Y93" i="219"/>
  <c r="T93" i="219"/>
  <c r="Q93" i="219"/>
  <c r="Y71" i="219"/>
  <c r="T71" i="219"/>
  <c r="Q71" i="219"/>
  <c r="Y49" i="219"/>
  <c r="T49" i="219"/>
  <c r="Q49" i="219"/>
  <c r="G49" i="219"/>
  <c r="G71" i="219" s="1"/>
  <c r="G93" i="219" s="1"/>
  <c r="B49" i="219"/>
  <c r="B71" i="219" s="1"/>
  <c r="B93" i="219" s="1"/>
  <c r="Y27" i="219"/>
  <c r="G27" i="219"/>
  <c r="F27" i="219"/>
  <c r="F49" i="219" s="1"/>
  <c r="F71" i="219" s="1"/>
  <c r="F93" i="219" s="1"/>
  <c r="E27" i="219"/>
  <c r="E49" i="219" s="1"/>
  <c r="E71" i="219" s="1"/>
  <c r="E93" i="219" s="1"/>
  <c r="D27" i="219"/>
  <c r="D49" i="219" s="1"/>
  <c r="D71" i="219" s="1"/>
  <c r="D93" i="219" s="1"/>
  <c r="C27" i="219"/>
  <c r="C49" i="219" s="1"/>
  <c r="C71" i="219" s="1"/>
  <c r="C93" i="219" s="1"/>
  <c r="B27" i="219"/>
  <c r="U20" i="219"/>
  <c r="T20" i="219"/>
  <c r="T19" i="219"/>
  <c r="U19" i="219" s="1"/>
  <c r="U18" i="219"/>
  <c r="T18" i="219"/>
  <c r="U17" i="219"/>
  <c r="T17" i="219"/>
  <c r="U16" i="219"/>
  <c r="T16" i="219"/>
  <c r="T15" i="219"/>
  <c r="U15" i="219" s="1"/>
  <c r="U14" i="219"/>
  <c r="T14" i="219"/>
  <c r="U13" i="219"/>
  <c r="T13" i="219"/>
  <c r="U12" i="219"/>
  <c r="T12" i="219"/>
  <c r="T11" i="219"/>
  <c r="U11" i="219" s="1"/>
  <c r="U10" i="219"/>
  <c r="T10" i="219"/>
  <c r="U9" i="219"/>
  <c r="T9" i="219"/>
  <c r="U8" i="219"/>
  <c r="T8" i="219"/>
  <c r="T7" i="219"/>
  <c r="U6" i="219"/>
  <c r="T6" i="219"/>
  <c r="U5" i="219"/>
  <c r="T5" i="219"/>
  <c r="Z4" i="219"/>
  <c r="Y4" i="219"/>
  <c r="Q4" i="219"/>
  <c r="P4" i="219"/>
  <c r="B1" i="219"/>
  <c r="K115" i="218"/>
  <c r="K116" i="218" s="1"/>
  <c r="K117" i="218" s="1"/>
  <c r="Y93" i="218"/>
  <c r="T93" i="218"/>
  <c r="Q93" i="218"/>
  <c r="Y71" i="218"/>
  <c r="T71" i="218"/>
  <c r="Q71" i="218"/>
  <c r="Y49" i="218"/>
  <c r="T49" i="218"/>
  <c r="Q49" i="218"/>
  <c r="F49" i="218"/>
  <c r="F71" i="218" s="1"/>
  <c r="F93" i="218" s="1"/>
  <c r="D49" i="218"/>
  <c r="D71" i="218" s="1"/>
  <c r="D93" i="218" s="1"/>
  <c r="B49" i="218"/>
  <c r="B71" i="218" s="1"/>
  <c r="B93" i="218" s="1"/>
  <c r="Y27" i="218"/>
  <c r="G27" i="218"/>
  <c r="G49" i="218" s="1"/>
  <c r="G71" i="218" s="1"/>
  <c r="G93" i="218" s="1"/>
  <c r="F27" i="218"/>
  <c r="E27" i="218"/>
  <c r="E49" i="218" s="1"/>
  <c r="E71" i="218" s="1"/>
  <c r="E93" i="218" s="1"/>
  <c r="D27" i="218"/>
  <c r="C27" i="218"/>
  <c r="C49" i="218" s="1"/>
  <c r="C71" i="218" s="1"/>
  <c r="C93" i="218" s="1"/>
  <c r="B27" i="218"/>
  <c r="U16" i="218"/>
  <c r="T16" i="218"/>
  <c r="U15" i="218"/>
  <c r="T15" i="218"/>
  <c r="U14" i="218"/>
  <c r="T14" i="218"/>
  <c r="U13" i="218"/>
  <c r="T13" i="218"/>
  <c r="U12" i="218"/>
  <c r="T12" i="218"/>
  <c r="U11" i="218"/>
  <c r="T11" i="218"/>
  <c r="U10" i="218"/>
  <c r="T10" i="218"/>
  <c r="U9" i="218"/>
  <c r="T9" i="218"/>
  <c r="U8" i="218"/>
  <c r="T8" i="218"/>
  <c r="U7" i="218"/>
  <c r="T7" i="218"/>
  <c r="U6" i="218"/>
  <c r="T6" i="218"/>
  <c r="U5" i="218"/>
  <c r="T5" i="218"/>
  <c r="T4" i="218" s="1"/>
  <c r="Z4" i="218"/>
  <c r="Y4" i="218"/>
  <c r="Q4" i="218"/>
  <c r="P4" i="218"/>
  <c r="B1" i="218"/>
  <c r="Y115" i="217"/>
  <c r="K115" i="217"/>
  <c r="K116" i="217" s="1"/>
  <c r="K117" i="217" s="1"/>
  <c r="Y93" i="217"/>
  <c r="T93" i="217"/>
  <c r="Q93" i="217"/>
  <c r="C93" i="217"/>
  <c r="Y71" i="217"/>
  <c r="T71" i="217"/>
  <c r="Q71" i="217"/>
  <c r="Y49" i="217"/>
  <c r="T49" i="217"/>
  <c r="Q49" i="217"/>
  <c r="G49" i="217"/>
  <c r="G71" i="217" s="1"/>
  <c r="G93" i="217" s="1"/>
  <c r="B49" i="217"/>
  <c r="B71" i="217" s="1"/>
  <c r="B93" i="217" s="1"/>
  <c r="Y27" i="217"/>
  <c r="G27" i="217"/>
  <c r="F27" i="217"/>
  <c r="F49" i="217" s="1"/>
  <c r="F71" i="217" s="1"/>
  <c r="F93" i="217" s="1"/>
  <c r="E27" i="217"/>
  <c r="E49" i="217" s="1"/>
  <c r="E71" i="217" s="1"/>
  <c r="E93" i="217" s="1"/>
  <c r="D27" i="217"/>
  <c r="D49" i="217" s="1"/>
  <c r="D71" i="217" s="1"/>
  <c r="D93" i="217" s="1"/>
  <c r="C27" i="217"/>
  <c r="C49" i="217" s="1"/>
  <c r="C71" i="217" s="1"/>
  <c r="B27" i="217"/>
  <c r="U15" i="217"/>
  <c r="T15" i="217"/>
  <c r="T14" i="217"/>
  <c r="U14" i="217" s="1"/>
  <c r="T13" i="217"/>
  <c r="U13" i="217" s="1"/>
  <c r="U12" i="217"/>
  <c r="T12" i="217"/>
  <c r="U11" i="217"/>
  <c r="T11" i="217"/>
  <c r="T10" i="217"/>
  <c r="U10" i="217" s="1"/>
  <c r="T9" i="217"/>
  <c r="U9" i="217" s="1"/>
  <c r="U8" i="217"/>
  <c r="T8" i="217"/>
  <c r="U7" i="217"/>
  <c r="T7" i="217"/>
  <c r="T6" i="217"/>
  <c r="U6" i="217" s="1"/>
  <c r="T5" i="217"/>
  <c r="Z4" i="217"/>
  <c r="Y4" i="217"/>
  <c r="Q4" i="217"/>
  <c r="P4" i="217"/>
  <c r="B1" i="217"/>
  <c r="K117" i="216"/>
  <c r="K116" i="216"/>
  <c r="K115" i="216"/>
  <c r="Y93" i="216"/>
  <c r="T93" i="216"/>
  <c r="Q93" i="216"/>
  <c r="Y71" i="216"/>
  <c r="T71" i="216"/>
  <c r="Q71" i="216"/>
  <c r="F71" i="216"/>
  <c r="F93" i="216" s="1"/>
  <c r="Y49" i="216"/>
  <c r="T49" i="216"/>
  <c r="Q49" i="216"/>
  <c r="D49" i="216"/>
  <c r="D71" i="216" s="1"/>
  <c r="D93" i="216" s="1"/>
  <c r="B49" i="216"/>
  <c r="B71" i="216" s="1"/>
  <c r="B93" i="216" s="1"/>
  <c r="Y27" i="216"/>
  <c r="G27" i="216"/>
  <c r="G49" i="216" s="1"/>
  <c r="G71" i="216" s="1"/>
  <c r="G93" i="216" s="1"/>
  <c r="F27" i="216"/>
  <c r="F49" i="216" s="1"/>
  <c r="E27" i="216"/>
  <c r="E49" i="216" s="1"/>
  <c r="E71" i="216" s="1"/>
  <c r="E93" i="216" s="1"/>
  <c r="D27" i="216"/>
  <c r="C27" i="216"/>
  <c r="C49" i="216" s="1"/>
  <c r="C71" i="216" s="1"/>
  <c r="C93" i="216" s="1"/>
  <c r="B27" i="216"/>
  <c r="U5" i="216"/>
  <c r="T5" i="216"/>
  <c r="T4" i="216" s="1"/>
  <c r="Z4" i="216"/>
  <c r="Y4" i="216"/>
  <c r="Q4" i="216"/>
  <c r="P4" i="216"/>
  <c r="B1" i="216"/>
  <c r="K115" i="215"/>
  <c r="K116" i="215" s="1"/>
  <c r="K117" i="215" s="1"/>
  <c r="Y93" i="215"/>
  <c r="T93" i="215"/>
  <c r="Q93" i="215"/>
  <c r="Y71" i="215"/>
  <c r="T71" i="215"/>
  <c r="Q71" i="215"/>
  <c r="E71" i="215"/>
  <c r="E93" i="215" s="1"/>
  <c r="D71" i="215"/>
  <c r="D93" i="215" s="1"/>
  <c r="Y49" i="215"/>
  <c r="T49" i="215"/>
  <c r="Q49" i="215"/>
  <c r="G49" i="215"/>
  <c r="G71" i="215" s="1"/>
  <c r="G93" i="215" s="1"/>
  <c r="F49" i="215"/>
  <c r="F71" i="215" s="1"/>
  <c r="F93" i="215" s="1"/>
  <c r="E49" i="215"/>
  <c r="D49" i="215"/>
  <c r="B49" i="215"/>
  <c r="B71" i="215" s="1"/>
  <c r="B93" i="215" s="1"/>
  <c r="T38" i="215"/>
  <c r="U38" i="215" s="1"/>
  <c r="U37" i="215"/>
  <c r="T37" i="215"/>
  <c r="U36" i="215"/>
  <c r="T36" i="215"/>
  <c r="T35" i="215"/>
  <c r="U35" i="215" s="1"/>
  <c r="T34" i="215"/>
  <c r="U34" i="215" s="1"/>
  <c r="T33" i="215"/>
  <c r="U33" i="215" s="1"/>
  <c r="U32" i="215"/>
  <c r="T32" i="215"/>
  <c r="T31" i="215"/>
  <c r="U31" i="215" s="1"/>
  <c r="T30" i="215"/>
  <c r="U30" i="215" s="1"/>
  <c r="T29" i="215"/>
  <c r="U29" i="215" s="1"/>
  <c r="U28" i="215"/>
  <c r="T28" i="215"/>
  <c r="Y27" i="215"/>
  <c r="Q27" i="215"/>
  <c r="P27" i="215"/>
  <c r="G27" i="215"/>
  <c r="F27" i="215"/>
  <c r="E27" i="215"/>
  <c r="D27" i="215"/>
  <c r="C27" i="215"/>
  <c r="C49" i="215" s="1"/>
  <c r="C71" i="215" s="1"/>
  <c r="C93" i="215" s="1"/>
  <c r="B27" i="215"/>
  <c r="T11" i="215"/>
  <c r="U11" i="215" s="1"/>
  <c r="U10" i="215"/>
  <c r="T10" i="215"/>
  <c r="U9" i="215"/>
  <c r="T9" i="215"/>
  <c r="U8" i="215"/>
  <c r="T8" i="215"/>
  <c r="T7" i="215"/>
  <c r="U7" i="215" s="1"/>
  <c r="U6" i="215"/>
  <c r="T6" i="215"/>
  <c r="U5" i="215"/>
  <c r="T5" i="215"/>
  <c r="Z4" i="215"/>
  <c r="Y4" i="215"/>
  <c r="Q4" i="215"/>
  <c r="P4" i="215"/>
  <c r="B1" i="215"/>
  <c r="K117" i="214"/>
  <c r="K115" i="214"/>
  <c r="K116" i="214" s="1"/>
  <c r="Y93" i="214"/>
  <c r="Y115" i="214" s="1"/>
  <c r="T93" i="214"/>
  <c r="Q93" i="214"/>
  <c r="Y71" i="214"/>
  <c r="T71" i="214"/>
  <c r="Q71" i="214"/>
  <c r="G71" i="214"/>
  <c r="G93" i="214" s="1"/>
  <c r="Y49" i="214"/>
  <c r="T49" i="214"/>
  <c r="Q49" i="214"/>
  <c r="F49" i="214"/>
  <c r="F71" i="214" s="1"/>
  <c r="F93" i="214" s="1"/>
  <c r="D49" i="214"/>
  <c r="D71" i="214" s="1"/>
  <c r="D93" i="214" s="1"/>
  <c r="Y27" i="214"/>
  <c r="G27" i="214"/>
  <c r="G49" i="214" s="1"/>
  <c r="F27" i="214"/>
  <c r="E27" i="214"/>
  <c r="E49" i="214" s="1"/>
  <c r="E71" i="214" s="1"/>
  <c r="E93" i="214" s="1"/>
  <c r="D27" i="214"/>
  <c r="C27" i="214"/>
  <c r="C49" i="214" s="1"/>
  <c r="C71" i="214" s="1"/>
  <c r="C93" i="214" s="1"/>
  <c r="B27" i="214"/>
  <c r="B49" i="214" s="1"/>
  <c r="B71" i="214" s="1"/>
  <c r="B93" i="214" s="1"/>
  <c r="T5" i="214"/>
  <c r="U5" i="214" s="1"/>
  <c r="Z4" i="214"/>
  <c r="Y4" i="214"/>
  <c r="T4" i="214"/>
  <c r="Q4" i="214"/>
  <c r="P4" i="214"/>
  <c r="B1" i="214"/>
  <c r="K116" i="213"/>
  <c r="K117" i="213" s="1"/>
  <c r="K115" i="213"/>
  <c r="Y93" i="213"/>
  <c r="Y115" i="213" s="1"/>
  <c r="T93" i="213"/>
  <c r="Q93" i="213"/>
  <c r="Y71" i="213"/>
  <c r="T71" i="213"/>
  <c r="Q71" i="213"/>
  <c r="E71" i="213"/>
  <c r="E93" i="213" s="1"/>
  <c r="Y49" i="213"/>
  <c r="T49" i="213"/>
  <c r="Q49" i="213"/>
  <c r="G49" i="213"/>
  <c r="G71" i="213" s="1"/>
  <c r="G93" i="213" s="1"/>
  <c r="D49" i="213"/>
  <c r="D71" i="213" s="1"/>
  <c r="D93" i="213" s="1"/>
  <c r="B49" i="213"/>
  <c r="B71" i="213" s="1"/>
  <c r="B93" i="213" s="1"/>
  <c r="Y27" i="213"/>
  <c r="G27" i="213"/>
  <c r="F27" i="213"/>
  <c r="F49" i="213" s="1"/>
  <c r="F71" i="213" s="1"/>
  <c r="F93" i="213" s="1"/>
  <c r="E27" i="213"/>
  <c r="E49" i="213" s="1"/>
  <c r="D27" i="213"/>
  <c r="C27" i="213"/>
  <c r="C49" i="213" s="1"/>
  <c r="C71" i="213" s="1"/>
  <c r="C93" i="213" s="1"/>
  <c r="B27" i="213"/>
  <c r="U11" i="213"/>
  <c r="T11" i="213"/>
  <c r="T10" i="213"/>
  <c r="U10" i="213" s="1"/>
  <c r="U9" i="213"/>
  <c r="T9" i="213"/>
  <c r="U8" i="213"/>
  <c r="T8" i="213"/>
  <c r="U7" i="213"/>
  <c r="T7" i="213"/>
  <c r="T6" i="213"/>
  <c r="U5" i="213"/>
  <c r="T5" i="213"/>
  <c r="Z4" i="213"/>
  <c r="Y4" i="213"/>
  <c r="Q4" i="213"/>
  <c r="P4" i="213"/>
  <c r="B1" i="213"/>
  <c r="K115" i="212"/>
  <c r="K116" i="212" s="1"/>
  <c r="K117" i="212" s="1"/>
  <c r="Y93" i="212"/>
  <c r="T93" i="212"/>
  <c r="Q93" i="212"/>
  <c r="F93" i="212"/>
  <c r="D93" i="212"/>
  <c r="Y71" i="212"/>
  <c r="T71" i="212"/>
  <c r="Q71" i="212"/>
  <c r="Y49" i="212"/>
  <c r="Y115" i="212" s="1"/>
  <c r="T49" i="212"/>
  <c r="Q49" i="212"/>
  <c r="F49" i="212"/>
  <c r="F71" i="212" s="1"/>
  <c r="D49" i="212"/>
  <c r="D71" i="212" s="1"/>
  <c r="B49" i="212"/>
  <c r="B71" i="212" s="1"/>
  <c r="B93" i="212" s="1"/>
  <c r="Y27" i="212"/>
  <c r="G27" i="212"/>
  <c r="G49" i="212" s="1"/>
  <c r="G71" i="212" s="1"/>
  <c r="G93" i="212" s="1"/>
  <c r="F27" i="212"/>
  <c r="E27" i="212"/>
  <c r="E49" i="212" s="1"/>
  <c r="E71" i="212" s="1"/>
  <c r="E93" i="212" s="1"/>
  <c r="D27" i="212"/>
  <c r="C27" i="212"/>
  <c r="C49" i="212" s="1"/>
  <c r="C71" i="212" s="1"/>
  <c r="C93" i="212" s="1"/>
  <c r="B27" i="212"/>
  <c r="U17" i="212"/>
  <c r="T17" i="212"/>
  <c r="U16" i="212"/>
  <c r="T16" i="212"/>
  <c r="U15" i="212"/>
  <c r="T15" i="212"/>
  <c r="U14" i="212"/>
  <c r="T14" i="212"/>
  <c r="U13" i="212"/>
  <c r="T13" i="212"/>
  <c r="U12" i="212"/>
  <c r="T12" i="212"/>
  <c r="U11" i="212"/>
  <c r="T11" i="212"/>
  <c r="U10" i="212"/>
  <c r="T10" i="212"/>
  <c r="U9" i="212"/>
  <c r="T9" i="212"/>
  <c r="U8" i="212"/>
  <c r="T8" i="212"/>
  <c r="U7" i="212"/>
  <c r="T7" i="212"/>
  <c r="U6" i="212"/>
  <c r="T6" i="212"/>
  <c r="U5" i="212"/>
  <c r="T5" i="212"/>
  <c r="T4" i="212" s="1"/>
  <c r="Z4" i="212"/>
  <c r="Y4" i="212"/>
  <c r="Q4" i="212"/>
  <c r="P4" i="212"/>
  <c r="B1" i="212"/>
  <c r="K117" i="211"/>
  <c r="K116" i="211"/>
  <c r="K115" i="211"/>
  <c r="Y93" i="211"/>
  <c r="T93" i="211"/>
  <c r="Q93" i="211"/>
  <c r="T75" i="211"/>
  <c r="U75" i="211" s="1"/>
  <c r="U74" i="211"/>
  <c r="T74" i="211"/>
  <c r="T73" i="211"/>
  <c r="U73" i="211" s="1"/>
  <c r="T72" i="211"/>
  <c r="U72" i="211" s="1"/>
  <c r="Y71" i="211"/>
  <c r="Z71" i="211" s="1"/>
  <c r="Q71" i="211"/>
  <c r="P71" i="211"/>
  <c r="C71" i="211"/>
  <c r="C93" i="211" s="1"/>
  <c r="U53" i="211"/>
  <c r="T53" i="211"/>
  <c r="U52" i="211"/>
  <c r="T52" i="211"/>
  <c r="U51" i="211"/>
  <c r="T51" i="211"/>
  <c r="U50" i="211"/>
  <c r="T50" i="211"/>
  <c r="T49" i="211" s="1"/>
  <c r="Z49" i="211"/>
  <c r="Y49" i="211"/>
  <c r="Q49" i="211"/>
  <c r="P49" i="211"/>
  <c r="E49" i="211"/>
  <c r="E71" i="211" s="1"/>
  <c r="E93" i="211" s="1"/>
  <c r="C49" i="211"/>
  <c r="T30" i="211"/>
  <c r="U30" i="211" s="1"/>
  <c r="T29" i="211"/>
  <c r="U29" i="211" s="1"/>
  <c r="U28" i="211"/>
  <c r="T28" i="211"/>
  <c r="Z27" i="211"/>
  <c r="Y27" i="211"/>
  <c r="T27" i="211"/>
  <c r="Q27" i="211"/>
  <c r="P27" i="211"/>
  <c r="G27" i="211"/>
  <c r="G49" i="211" s="1"/>
  <c r="G71" i="211" s="1"/>
  <c r="G93" i="211" s="1"/>
  <c r="F27" i="211"/>
  <c r="F49" i="211" s="1"/>
  <c r="F71" i="211" s="1"/>
  <c r="F93" i="211" s="1"/>
  <c r="E27" i="211"/>
  <c r="D27" i="211"/>
  <c r="D49" i="211" s="1"/>
  <c r="D71" i="211" s="1"/>
  <c r="D93" i="211" s="1"/>
  <c r="C27" i="211"/>
  <c r="B27" i="211"/>
  <c r="B49" i="211" s="1"/>
  <c r="B71" i="211" s="1"/>
  <c r="B93" i="211" s="1"/>
  <c r="T6" i="211"/>
  <c r="U6" i="211" s="1"/>
  <c r="U5" i="211"/>
  <c r="T5" i="211"/>
  <c r="Y4" i="211"/>
  <c r="Z4" i="211" s="1"/>
  <c r="T4" i="211"/>
  <c r="Q4" i="211"/>
  <c r="P4" i="211"/>
  <c r="B1" i="211"/>
  <c r="K115" i="210"/>
  <c r="K116" i="210" s="1"/>
  <c r="K117" i="210" s="1"/>
  <c r="Y93" i="210"/>
  <c r="Y115" i="210" s="1"/>
  <c r="T93" i="210"/>
  <c r="Q93" i="210"/>
  <c r="C93" i="210"/>
  <c r="Y71" i="210"/>
  <c r="T71" i="210"/>
  <c r="Q71" i="210"/>
  <c r="Y49" i="210"/>
  <c r="T49" i="210"/>
  <c r="Q49" i="210"/>
  <c r="E49" i="210"/>
  <c r="E71" i="210" s="1"/>
  <c r="E93" i="210" s="1"/>
  <c r="C49" i="210"/>
  <c r="C71" i="210" s="1"/>
  <c r="Y27" i="210"/>
  <c r="G27" i="210"/>
  <c r="G49" i="210" s="1"/>
  <c r="G71" i="210" s="1"/>
  <c r="G93" i="210" s="1"/>
  <c r="F27" i="210"/>
  <c r="F49" i="210" s="1"/>
  <c r="F71" i="210" s="1"/>
  <c r="F93" i="210" s="1"/>
  <c r="E27" i="210"/>
  <c r="D27" i="210"/>
  <c r="D49" i="210" s="1"/>
  <c r="D71" i="210" s="1"/>
  <c r="D93" i="210" s="1"/>
  <c r="C27" i="210"/>
  <c r="B27" i="210"/>
  <c r="B49" i="210" s="1"/>
  <c r="B71" i="210" s="1"/>
  <c r="B93" i="210" s="1"/>
  <c r="T11" i="210"/>
  <c r="U11" i="210" s="1"/>
  <c r="U10" i="210"/>
  <c r="T10" i="210"/>
  <c r="T9" i="210"/>
  <c r="U9" i="210" s="1"/>
  <c r="T8" i="210"/>
  <c r="U8" i="210" s="1"/>
  <c r="T7" i="210"/>
  <c r="U7" i="210" s="1"/>
  <c r="U6" i="210"/>
  <c r="T6" i="210"/>
  <c r="T5" i="210"/>
  <c r="Y4" i="210"/>
  <c r="Z4" i="210" s="1"/>
  <c r="Q4" i="210"/>
  <c r="P4" i="210"/>
  <c r="B1" i="210"/>
  <c r="K116" i="209"/>
  <c r="K117" i="209" s="1"/>
  <c r="K115" i="209"/>
  <c r="Y93" i="209"/>
  <c r="T93" i="209"/>
  <c r="Q93" i="209"/>
  <c r="E93" i="209"/>
  <c r="U60" i="209"/>
  <c r="T60" i="209"/>
  <c r="U59" i="209"/>
  <c r="T59" i="209"/>
  <c r="T58" i="209"/>
  <c r="U58" i="209" s="1"/>
  <c r="U57" i="209"/>
  <c r="T57" i="209"/>
  <c r="U56" i="209"/>
  <c r="T56" i="209"/>
  <c r="U55" i="209"/>
  <c r="T55" i="209"/>
  <c r="T54" i="209"/>
  <c r="U54" i="209" s="1"/>
  <c r="U53" i="209"/>
  <c r="T53" i="209"/>
  <c r="U52" i="209"/>
  <c r="T52" i="209"/>
  <c r="U51" i="209"/>
  <c r="T51" i="209"/>
  <c r="T50" i="209"/>
  <c r="U50" i="209" s="1"/>
  <c r="Z49" i="209"/>
  <c r="Y49" i="209"/>
  <c r="T49" i="209"/>
  <c r="Q49" i="209"/>
  <c r="P49" i="209"/>
  <c r="G49" i="209"/>
  <c r="G71" i="209" s="1"/>
  <c r="G93" i="209" s="1"/>
  <c r="D49" i="209"/>
  <c r="D71" i="209" s="1"/>
  <c r="D93" i="209" s="1"/>
  <c r="B49" i="209"/>
  <c r="B71" i="209" s="1"/>
  <c r="B93" i="209" s="1"/>
  <c r="T38" i="209"/>
  <c r="U38" i="209" s="1"/>
  <c r="U37" i="209"/>
  <c r="T37" i="209"/>
  <c r="T36" i="209"/>
  <c r="U36" i="209" s="1"/>
  <c r="T35" i="209"/>
  <c r="U35" i="209" s="1"/>
  <c r="T34" i="209"/>
  <c r="U34" i="209" s="1"/>
  <c r="U33" i="209"/>
  <c r="T33" i="209"/>
  <c r="T32" i="209"/>
  <c r="U32" i="209" s="1"/>
  <c r="T31" i="209"/>
  <c r="U31" i="209" s="1"/>
  <c r="T30" i="209"/>
  <c r="U30" i="209" s="1"/>
  <c r="U29" i="209"/>
  <c r="T29" i="209"/>
  <c r="T28" i="209"/>
  <c r="Y27" i="209"/>
  <c r="Z27" i="209" s="1"/>
  <c r="Q27" i="209"/>
  <c r="P27" i="209"/>
  <c r="G27" i="209"/>
  <c r="F27" i="209"/>
  <c r="F49" i="209" s="1"/>
  <c r="F71" i="209" s="1"/>
  <c r="F93" i="209" s="1"/>
  <c r="E27" i="209"/>
  <c r="E49" i="209" s="1"/>
  <c r="E71" i="209" s="1"/>
  <c r="D27" i="209"/>
  <c r="C27" i="209"/>
  <c r="C49" i="209" s="1"/>
  <c r="C71" i="209" s="1"/>
  <c r="C93" i="209" s="1"/>
  <c r="B27" i="209"/>
  <c r="U17" i="209"/>
  <c r="T17" i="209"/>
  <c r="T16" i="209"/>
  <c r="U16" i="209" s="1"/>
  <c r="U15" i="209"/>
  <c r="T15" i="209"/>
  <c r="U14" i="209"/>
  <c r="T14" i="209"/>
  <c r="U13" i="209"/>
  <c r="T13" i="209"/>
  <c r="T12" i="209"/>
  <c r="U12" i="209" s="1"/>
  <c r="U11" i="209"/>
  <c r="T11" i="209"/>
  <c r="U10" i="209"/>
  <c r="T10" i="209"/>
  <c r="U9" i="209"/>
  <c r="T9" i="209"/>
  <c r="T8" i="209"/>
  <c r="U8" i="209" s="1"/>
  <c r="U7" i="209"/>
  <c r="T7" i="209"/>
  <c r="U6" i="209"/>
  <c r="T6" i="209"/>
  <c r="U5" i="209"/>
  <c r="T5" i="209"/>
  <c r="Y4" i="209"/>
  <c r="Z4" i="209" s="1"/>
  <c r="T4" i="209"/>
  <c r="Q4" i="209"/>
  <c r="P4" i="209"/>
  <c r="B1" i="209"/>
  <c r="K115" i="208"/>
  <c r="K116" i="208" s="1"/>
  <c r="K117" i="208" s="1"/>
  <c r="Y93" i="208"/>
  <c r="T93" i="208"/>
  <c r="Q93" i="208"/>
  <c r="B93" i="208"/>
  <c r="T82" i="208"/>
  <c r="U82" i="208" s="1"/>
  <c r="T81" i="208"/>
  <c r="U81" i="208" s="1"/>
  <c r="U80" i="208"/>
  <c r="T80" i="208"/>
  <c r="T79" i="208"/>
  <c r="U79" i="208" s="1"/>
  <c r="T78" i="208"/>
  <c r="U78" i="208" s="1"/>
  <c r="T77" i="208"/>
  <c r="U77" i="208" s="1"/>
  <c r="U76" i="208"/>
  <c r="T76" i="208"/>
  <c r="T75" i="208"/>
  <c r="U75" i="208" s="1"/>
  <c r="T74" i="208"/>
  <c r="U74" i="208" s="1"/>
  <c r="T73" i="208"/>
  <c r="U72" i="208"/>
  <c r="T72" i="208"/>
  <c r="Y71" i="208"/>
  <c r="Z71" i="208" s="1"/>
  <c r="Q71" i="208"/>
  <c r="P71" i="208"/>
  <c r="U60" i="208"/>
  <c r="T60" i="208"/>
  <c r="T59" i="208"/>
  <c r="U59" i="208" s="1"/>
  <c r="T58" i="208"/>
  <c r="U58" i="208" s="1"/>
  <c r="U57" i="208"/>
  <c r="T57" i="208"/>
  <c r="U56" i="208"/>
  <c r="T56" i="208"/>
  <c r="T55" i="208"/>
  <c r="U55" i="208" s="1"/>
  <c r="T54" i="208"/>
  <c r="U54" i="208" s="1"/>
  <c r="U53" i="208"/>
  <c r="T53" i="208"/>
  <c r="U52" i="208"/>
  <c r="T52" i="208"/>
  <c r="T51" i="208"/>
  <c r="U51" i="208" s="1"/>
  <c r="T50" i="208"/>
  <c r="U50" i="208" s="1"/>
  <c r="Z49" i="208"/>
  <c r="Y49" i="208"/>
  <c r="T49" i="208"/>
  <c r="Q49" i="208"/>
  <c r="P49" i="208"/>
  <c r="G49" i="208"/>
  <c r="G71" i="208" s="1"/>
  <c r="G93" i="208" s="1"/>
  <c r="D49" i="208"/>
  <c r="D71" i="208" s="1"/>
  <c r="D93" i="208" s="1"/>
  <c r="B49" i="208"/>
  <c r="B71" i="208" s="1"/>
  <c r="U38" i="208"/>
  <c r="T38" i="208"/>
  <c r="U37" i="208"/>
  <c r="T37" i="208"/>
  <c r="T36" i="208"/>
  <c r="U36" i="208" s="1"/>
  <c r="T35" i="208"/>
  <c r="U35" i="208" s="1"/>
  <c r="U34" i="208"/>
  <c r="T34" i="208"/>
  <c r="U33" i="208"/>
  <c r="T33" i="208"/>
  <c r="T32" i="208"/>
  <c r="U32" i="208" s="1"/>
  <c r="T31" i="208"/>
  <c r="U31" i="208" s="1"/>
  <c r="U30" i="208"/>
  <c r="T30" i="208"/>
  <c r="U29" i="208"/>
  <c r="T29" i="208"/>
  <c r="T28" i="208"/>
  <c r="Y27" i="208"/>
  <c r="Z27" i="208" s="1"/>
  <c r="Q27" i="208"/>
  <c r="P27" i="208"/>
  <c r="G27" i="208"/>
  <c r="F27" i="208"/>
  <c r="F49" i="208" s="1"/>
  <c r="F71" i="208" s="1"/>
  <c r="F93" i="208" s="1"/>
  <c r="E27" i="208"/>
  <c r="E49" i="208" s="1"/>
  <c r="E71" i="208" s="1"/>
  <c r="E93" i="208" s="1"/>
  <c r="D27" i="208"/>
  <c r="C27" i="208"/>
  <c r="C49" i="208" s="1"/>
  <c r="C71" i="208" s="1"/>
  <c r="C93" i="208" s="1"/>
  <c r="B27" i="208"/>
  <c r="T15" i="208"/>
  <c r="U15" i="208" s="1"/>
  <c r="T14" i="208"/>
  <c r="U14" i="208" s="1"/>
  <c r="U13" i="208"/>
  <c r="T13" i="208"/>
  <c r="U12" i="208"/>
  <c r="T12" i="208"/>
  <c r="T11" i="208"/>
  <c r="U11" i="208" s="1"/>
  <c r="T10" i="208"/>
  <c r="U10" i="208" s="1"/>
  <c r="U9" i="208"/>
  <c r="T9" i="208"/>
  <c r="U8" i="208"/>
  <c r="T8" i="208"/>
  <c r="T7" i="208"/>
  <c r="U7" i="208" s="1"/>
  <c r="T6" i="208"/>
  <c r="U6" i="208" s="1"/>
  <c r="U5" i="208"/>
  <c r="T5" i="208"/>
  <c r="T4" i="208" s="1"/>
  <c r="Z4" i="208"/>
  <c r="Y4" i="208"/>
  <c r="Q4" i="208"/>
  <c r="P4" i="208"/>
  <c r="B1" i="208"/>
  <c r="Y115" i="207"/>
  <c r="K115" i="207"/>
  <c r="K116" i="207" s="1"/>
  <c r="K117" i="207" s="1"/>
  <c r="Y93" i="207"/>
  <c r="T93" i="207"/>
  <c r="Q93" i="207"/>
  <c r="F93" i="207"/>
  <c r="Y71" i="207"/>
  <c r="T71" i="207"/>
  <c r="Q71" i="207"/>
  <c r="E71" i="207"/>
  <c r="E93" i="207" s="1"/>
  <c r="Y49" i="207"/>
  <c r="T49" i="207"/>
  <c r="Q49" i="207"/>
  <c r="F49" i="207"/>
  <c r="F71" i="207" s="1"/>
  <c r="C49" i="207"/>
  <c r="C71" i="207" s="1"/>
  <c r="C93" i="207" s="1"/>
  <c r="Y27" i="207"/>
  <c r="G27" i="207"/>
  <c r="G49" i="207" s="1"/>
  <c r="G71" i="207" s="1"/>
  <c r="G93" i="207" s="1"/>
  <c r="F27" i="207"/>
  <c r="E27" i="207"/>
  <c r="E49" i="207" s="1"/>
  <c r="D27" i="207"/>
  <c r="D49" i="207" s="1"/>
  <c r="D71" i="207" s="1"/>
  <c r="D93" i="207" s="1"/>
  <c r="C27" i="207"/>
  <c r="B27" i="207"/>
  <c r="B49" i="207" s="1"/>
  <c r="B71" i="207" s="1"/>
  <c r="B93" i="207" s="1"/>
  <c r="T10" i="207"/>
  <c r="U10" i="207" s="1"/>
  <c r="U9" i="207"/>
  <c r="T9" i="207"/>
  <c r="U8" i="207"/>
  <c r="T8" i="207"/>
  <c r="T7" i="207"/>
  <c r="U7" i="207" s="1"/>
  <c r="T6" i="207"/>
  <c r="U6" i="207" s="1"/>
  <c r="U5" i="207"/>
  <c r="T5" i="207"/>
  <c r="T4" i="207" s="1"/>
  <c r="Z4" i="207"/>
  <c r="Y4" i="207"/>
  <c r="Q4" i="207"/>
  <c r="P4" i="207"/>
  <c r="B1" i="207"/>
  <c r="Y115" i="206"/>
  <c r="K115" i="206"/>
  <c r="K116" i="206" s="1"/>
  <c r="K117" i="206" s="1"/>
  <c r="Y93" i="206"/>
  <c r="T93" i="206"/>
  <c r="Q93" i="206"/>
  <c r="F93" i="206"/>
  <c r="D93" i="206"/>
  <c r="Y71" i="206"/>
  <c r="T71" i="206"/>
  <c r="Q71" i="206"/>
  <c r="Y49" i="206"/>
  <c r="T49" i="206"/>
  <c r="Q49" i="206"/>
  <c r="F49" i="206"/>
  <c r="F71" i="206" s="1"/>
  <c r="C49" i="206"/>
  <c r="C71" i="206" s="1"/>
  <c r="C93" i="206" s="1"/>
  <c r="Y27" i="206"/>
  <c r="G27" i="206"/>
  <c r="G49" i="206" s="1"/>
  <c r="G71" i="206" s="1"/>
  <c r="G93" i="206" s="1"/>
  <c r="F27" i="206"/>
  <c r="E27" i="206"/>
  <c r="E49" i="206" s="1"/>
  <c r="E71" i="206" s="1"/>
  <c r="E93" i="206" s="1"/>
  <c r="D27" i="206"/>
  <c r="D49" i="206" s="1"/>
  <c r="D71" i="206" s="1"/>
  <c r="C27" i="206"/>
  <c r="B27" i="206"/>
  <c r="B49" i="206" s="1"/>
  <c r="B71" i="206" s="1"/>
  <c r="B93" i="206" s="1"/>
  <c r="T14" i="206"/>
  <c r="U14" i="206" s="1"/>
  <c r="U13" i="206"/>
  <c r="T13" i="206"/>
  <c r="U12" i="206"/>
  <c r="T12" i="206"/>
  <c r="T11" i="206"/>
  <c r="U11" i="206" s="1"/>
  <c r="T10" i="206"/>
  <c r="U10" i="206" s="1"/>
  <c r="U9" i="206"/>
  <c r="T9" i="206"/>
  <c r="U8" i="206"/>
  <c r="T8" i="206"/>
  <c r="T7" i="206"/>
  <c r="U7" i="206" s="1"/>
  <c r="T6" i="206"/>
  <c r="U6" i="206" s="1"/>
  <c r="U5" i="206"/>
  <c r="T5" i="206"/>
  <c r="T4" i="206" s="1"/>
  <c r="Z4" i="206"/>
  <c r="Y4" i="206"/>
  <c r="Q4" i="206"/>
  <c r="P4" i="206"/>
  <c r="B1" i="206"/>
  <c r="K117" i="205"/>
  <c r="Y115" i="205"/>
  <c r="K115" i="205"/>
  <c r="K116" i="205" s="1"/>
  <c r="Y93" i="205"/>
  <c r="T93" i="205"/>
  <c r="Q93" i="205"/>
  <c r="Y71" i="205"/>
  <c r="T71" i="205"/>
  <c r="Q71" i="205"/>
  <c r="Y49" i="205"/>
  <c r="T49" i="205"/>
  <c r="Q49" i="205"/>
  <c r="F49" i="205"/>
  <c r="F71" i="205" s="1"/>
  <c r="F93" i="205" s="1"/>
  <c r="C49" i="205"/>
  <c r="C71" i="205" s="1"/>
  <c r="C93" i="205" s="1"/>
  <c r="Y27" i="205"/>
  <c r="G27" i="205"/>
  <c r="G49" i="205" s="1"/>
  <c r="G71" i="205" s="1"/>
  <c r="G93" i="205" s="1"/>
  <c r="F27" i="205"/>
  <c r="E27" i="205"/>
  <c r="E49" i="205" s="1"/>
  <c r="E71" i="205" s="1"/>
  <c r="E93" i="205" s="1"/>
  <c r="D27" i="205"/>
  <c r="D49" i="205" s="1"/>
  <c r="D71" i="205" s="1"/>
  <c r="D93" i="205" s="1"/>
  <c r="C27" i="205"/>
  <c r="B27" i="205"/>
  <c r="B49" i="205" s="1"/>
  <c r="B71" i="205" s="1"/>
  <c r="B93" i="205" s="1"/>
  <c r="T15" i="205"/>
  <c r="U15" i="205" s="1"/>
  <c r="U14" i="205"/>
  <c r="T14" i="205"/>
  <c r="U13" i="205"/>
  <c r="T13" i="205"/>
  <c r="T12" i="205"/>
  <c r="U12" i="205" s="1"/>
  <c r="T11" i="205"/>
  <c r="U11" i="205" s="1"/>
  <c r="U10" i="205"/>
  <c r="T10" i="205"/>
  <c r="U9" i="205"/>
  <c r="T9" i="205"/>
  <c r="T8" i="205"/>
  <c r="U8" i="205" s="1"/>
  <c r="T7" i="205"/>
  <c r="U7" i="205" s="1"/>
  <c r="U6" i="205"/>
  <c r="T6" i="205"/>
  <c r="U5" i="205"/>
  <c r="T5" i="205"/>
  <c r="T4" i="205" s="1"/>
  <c r="Y4" i="205"/>
  <c r="Z4" i="205" s="1"/>
  <c r="Q4" i="205"/>
  <c r="P4" i="205"/>
  <c r="B1" i="205"/>
  <c r="K117" i="204"/>
  <c r="K115" i="204"/>
  <c r="K116" i="204" s="1"/>
  <c r="Y93" i="204"/>
  <c r="Y115" i="204" s="1"/>
  <c r="T93" i="204"/>
  <c r="Q93" i="204"/>
  <c r="Y71" i="204"/>
  <c r="T71" i="204"/>
  <c r="Q71" i="204"/>
  <c r="Y49" i="204"/>
  <c r="T49" i="204"/>
  <c r="Q49" i="204"/>
  <c r="E49" i="204"/>
  <c r="E71" i="204" s="1"/>
  <c r="E93" i="204" s="1"/>
  <c r="B49" i="204"/>
  <c r="B71" i="204" s="1"/>
  <c r="B93" i="204" s="1"/>
  <c r="T38" i="204"/>
  <c r="U38" i="204" s="1"/>
  <c r="U37" i="204"/>
  <c r="T37" i="204"/>
  <c r="U36" i="204"/>
  <c r="T36" i="204"/>
  <c r="T35" i="204"/>
  <c r="U35" i="204" s="1"/>
  <c r="T34" i="204"/>
  <c r="U34" i="204" s="1"/>
  <c r="U33" i="204"/>
  <c r="T33" i="204"/>
  <c r="U32" i="204"/>
  <c r="T32" i="204"/>
  <c r="T31" i="204"/>
  <c r="U31" i="204" s="1"/>
  <c r="T30" i="204"/>
  <c r="U29" i="204"/>
  <c r="T29" i="204"/>
  <c r="U28" i="204"/>
  <c r="T28" i="204"/>
  <c r="Y27" i="204"/>
  <c r="Z27" i="204" s="1"/>
  <c r="Q27" i="204"/>
  <c r="P27" i="204"/>
  <c r="G27" i="204"/>
  <c r="G49" i="204" s="1"/>
  <c r="G71" i="204" s="1"/>
  <c r="G93" i="204" s="1"/>
  <c r="F27" i="204"/>
  <c r="F49" i="204" s="1"/>
  <c r="F71" i="204" s="1"/>
  <c r="F93" i="204" s="1"/>
  <c r="E27" i="204"/>
  <c r="D27" i="204"/>
  <c r="D49" i="204" s="1"/>
  <c r="D71" i="204" s="1"/>
  <c r="D93" i="204" s="1"/>
  <c r="C27" i="204"/>
  <c r="C49" i="204" s="1"/>
  <c r="C71" i="204" s="1"/>
  <c r="C93" i="204" s="1"/>
  <c r="B27" i="204"/>
  <c r="U17" i="204"/>
  <c r="T17" i="204"/>
  <c r="T16" i="204"/>
  <c r="U16" i="204" s="1"/>
  <c r="T15" i="204"/>
  <c r="U15" i="204" s="1"/>
  <c r="U14" i="204"/>
  <c r="T14" i="204"/>
  <c r="U13" i="204"/>
  <c r="T13" i="204"/>
  <c r="T12" i="204"/>
  <c r="U12" i="204" s="1"/>
  <c r="T11" i="204"/>
  <c r="U11" i="204" s="1"/>
  <c r="U10" i="204"/>
  <c r="T10" i="204"/>
  <c r="U9" i="204"/>
  <c r="T9" i="204"/>
  <c r="T8" i="204"/>
  <c r="U8" i="204" s="1"/>
  <c r="T7" i="204"/>
  <c r="U7" i="204" s="1"/>
  <c r="U6" i="204"/>
  <c r="T6" i="204"/>
  <c r="U5" i="204"/>
  <c r="T5" i="204"/>
  <c r="T4" i="204" s="1"/>
  <c r="Y4" i="204"/>
  <c r="Z4" i="204" s="1"/>
  <c r="Q4" i="204"/>
  <c r="P4" i="204"/>
  <c r="B1" i="204"/>
  <c r="K115" i="203"/>
  <c r="K116" i="203" s="1"/>
  <c r="K117" i="203" s="1"/>
  <c r="Y93" i="203"/>
  <c r="T93" i="203"/>
  <c r="Q93" i="203"/>
  <c r="Y71" i="203"/>
  <c r="T71" i="203"/>
  <c r="Q71" i="203"/>
  <c r="G71" i="203"/>
  <c r="G93" i="203" s="1"/>
  <c r="U53" i="203"/>
  <c r="T53" i="203"/>
  <c r="U52" i="203"/>
  <c r="T52" i="203"/>
  <c r="T51" i="203"/>
  <c r="U51" i="203" s="1"/>
  <c r="T50" i="203"/>
  <c r="U50" i="203" s="1"/>
  <c r="Z49" i="203"/>
  <c r="Y49" i="203"/>
  <c r="T49" i="203"/>
  <c r="Q49" i="203"/>
  <c r="P49" i="203"/>
  <c r="G49" i="203"/>
  <c r="E49" i="203"/>
  <c r="E71" i="203" s="1"/>
  <c r="E93" i="203" s="1"/>
  <c r="D49" i="203"/>
  <c r="D71" i="203" s="1"/>
  <c r="D93" i="203" s="1"/>
  <c r="B49" i="203"/>
  <c r="B71" i="203" s="1"/>
  <c r="B93" i="203" s="1"/>
  <c r="U33" i="203"/>
  <c r="T33" i="203"/>
  <c r="U32" i="203"/>
  <c r="T32" i="203"/>
  <c r="T31" i="203"/>
  <c r="U31" i="203" s="1"/>
  <c r="T30" i="203"/>
  <c r="U29" i="203"/>
  <c r="T29" i="203"/>
  <c r="U28" i="203"/>
  <c r="T28" i="203"/>
  <c r="Y27" i="203"/>
  <c r="Z27" i="203" s="1"/>
  <c r="Q27" i="203"/>
  <c r="P27" i="203"/>
  <c r="G27" i="203"/>
  <c r="F27" i="203"/>
  <c r="F49" i="203" s="1"/>
  <c r="F71" i="203" s="1"/>
  <c r="F93" i="203" s="1"/>
  <c r="E27" i="203"/>
  <c r="D27" i="203"/>
  <c r="C27" i="203"/>
  <c r="C49" i="203" s="1"/>
  <c r="C71" i="203" s="1"/>
  <c r="C93" i="203" s="1"/>
  <c r="B27" i="203"/>
  <c r="U10" i="203"/>
  <c r="T10" i="203"/>
  <c r="T9" i="203"/>
  <c r="U9" i="203" s="1"/>
  <c r="T8" i="203"/>
  <c r="U8" i="203" s="1"/>
  <c r="U7" i="203"/>
  <c r="T7" i="203"/>
  <c r="U6" i="203"/>
  <c r="T6" i="203"/>
  <c r="T5" i="203"/>
  <c r="U5" i="203" s="1"/>
  <c r="Y4" i="203"/>
  <c r="Z4" i="203" s="1"/>
  <c r="T4" i="203"/>
  <c r="Q4" i="203"/>
  <c r="P4" i="203"/>
  <c r="B1" i="203"/>
  <c r="K116" i="202"/>
  <c r="K117" i="202" s="1"/>
  <c r="K115" i="202"/>
  <c r="Y93" i="202"/>
  <c r="T93" i="202"/>
  <c r="Q93" i="202"/>
  <c r="B93" i="202"/>
  <c r="Y71" i="202"/>
  <c r="T71" i="202"/>
  <c r="Q71" i="202"/>
  <c r="C71" i="202"/>
  <c r="C93" i="202" s="1"/>
  <c r="Y49" i="202"/>
  <c r="T49" i="202"/>
  <c r="Q49" i="202"/>
  <c r="G49" i="202"/>
  <c r="G71" i="202" s="1"/>
  <c r="G93" i="202" s="1"/>
  <c r="E49" i="202"/>
  <c r="E71" i="202" s="1"/>
  <c r="E93" i="202" s="1"/>
  <c r="D49" i="202"/>
  <c r="D71" i="202" s="1"/>
  <c r="D93" i="202" s="1"/>
  <c r="B49" i="202"/>
  <c r="B71" i="202" s="1"/>
  <c r="Y27" i="202"/>
  <c r="G27" i="202"/>
  <c r="F27" i="202"/>
  <c r="F49" i="202" s="1"/>
  <c r="F71" i="202" s="1"/>
  <c r="F93" i="202" s="1"/>
  <c r="E27" i="202"/>
  <c r="D27" i="202"/>
  <c r="C27" i="202"/>
  <c r="C49" i="202" s="1"/>
  <c r="B27" i="202"/>
  <c r="U11" i="202"/>
  <c r="T11" i="202"/>
  <c r="T10" i="202"/>
  <c r="U10" i="202" s="1"/>
  <c r="T9" i="202"/>
  <c r="U9" i="202" s="1"/>
  <c r="U8" i="202"/>
  <c r="T8" i="202"/>
  <c r="U7" i="202"/>
  <c r="T7" i="202"/>
  <c r="T6" i="202"/>
  <c r="U6" i="202" s="1"/>
  <c r="T5" i="202"/>
  <c r="U5" i="202" s="1"/>
  <c r="Z4" i="202"/>
  <c r="Y4" i="202"/>
  <c r="T4" i="202"/>
  <c r="Q4" i="202"/>
  <c r="P4" i="202"/>
  <c r="B1" i="202"/>
  <c r="K115" i="201"/>
  <c r="K116" i="201" s="1"/>
  <c r="K117" i="201" s="1"/>
  <c r="Y93" i="201"/>
  <c r="T93" i="201"/>
  <c r="Q93" i="201"/>
  <c r="D93" i="201"/>
  <c r="Y71" i="201"/>
  <c r="T71" i="201"/>
  <c r="Q71" i="201"/>
  <c r="Y49" i="201"/>
  <c r="T49" i="201"/>
  <c r="Q49" i="201"/>
  <c r="G49" i="201"/>
  <c r="G71" i="201" s="1"/>
  <c r="G93" i="201" s="1"/>
  <c r="F49" i="201"/>
  <c r="F71" i="201" s="1"/>
  <c r="F93" i="201" s="1"/>
  <c r="D49" i="201"/>
  <c r="D71" i="201" s="1"/>
  <c r="Y27" i="201"/>
  <c r="Y115" i="201" s="1"/>
  <c r="G27" i="201"/>
  <c r="F27" i="201"/>
  <c r="E27" i="201"/>
  <c r="E49" i="201" s="1"/>
  <c r="E71" i="201" s="1"/>
  <c r="E93" i="201" s="1"/>
  <c r="D27" i="201"/>
  <c r="C27" i="201"/>
  <c r="C49" i="201" s="1"/>
  <c r="C71" i="201" s="1"/>
  <c r="C93" i="201" s="1"/>
  <c r="B27" i="201"/>
  <c r="B49" i="201" s="1"/>
  <c r="B71" i="201" s="1"/>
  <c r="B93" i="201" s="1"/>
  <c r="T15" i="201"/>
  <c r="U15" i="201" s="1"/>
  <c r="T14" i="201"/>
  <c r="U14" i="201" s="1"/>
  <c r="U13" i="201"/>
  <c r="T13" i="201"/>
  <c r="U12" i="201"/>
  <c r="T12" i="201"/>
  <c r="T11" i="201"/>
  <c r="U11" i="201" s="1"/>
  <c r="T10" i="201"/>
  <c r="U10" i="201" s="1"/>
  <c r="U9" i="201"/>
  <c r="T9" i="201"/>
  <c r="U8" i="201"/>
  <c r="T8" i="201"/>
  <c r="T7" i="201"/>
  <c r="U7" i="201" s="1"/>
  <c r="T6" i="201"/>
  <c r="U6" i="201" s="1"/>
  <c r="U5" i="201"/>
  <c r="T5" i="201"/>
  <c r="Z4" i="201"/>
  <c r="Y4" i="201"/>
  <c r="Q4" i="201"/>
  <c r="P4" i="201"/>
  <c r="B1" i="201"/>
  <c r="K116" i="200"/>
  <c r="K117" i="200" s="1"/>
  <c r="K115" i="200"/>
  <c r="Y93" i="200"/>
  <c r="T93" i="200"/>
  <c r="Q93" i="200"/>
  <c r="E93" i="200"/>
  <c r="Y71" i="200"/>
  <c r="T71" i="200"/>
  <c r="Q71" i="200"/>
  <c r="Y49" i="200"/>
  <c r="T49" i="200"/>
  <c r="Q49" i="200"/>
  <c r="G49" i="200"/>
  <c r="G71" i="200" s="1"/>
  <c r="G93" i="200" s="1"/>
  <c r="F49" i="200"/>
  <c r="F71" i="200" s="1"/>
  <c r="F93" i="200" s="1"/>
  <c r="C49" i="200"/>
  <c r="C71" i="200" s="1"/>
  <c r="C93" i="200" s="1"/>
  <c r="Y27" i="200"/>
  <c r="G27" i="200"/>
  <c r="F27" i="200"/>
  <c r="E27" i="200"/>
  <c r="E49" i="200" s="1"/>
  <c r="E71" i="200" s="1"/>
  <c r="D27" i="200"/>
  <c r="D49" i="200" s="1"/>
  <c r="D71" i="200" s="1"/>
  <c r="D93" i="200" s="1"/>
  <c r="C27" i="200"/>
  <c r="B27" i="200"/>
  <c r="B49" i="200" s="1"/>
  <c r="B71" i="200" s="1"/>
  <c r="B93" i="200" s="1"/>
  <c r="T17" i="200"/>
  <c r="U17" i="200" s="1"/>
  <c r="U16" i="200"/>
  <c r="T16" i="200"/>
  <c r="T15" i="200"/>
  <c r="U15" i="200" s="1"/>
  <c r="T14" i="200"/>
  <c r="U14" i="200" s="1"/>
  <c r="T13" i="200"/>
  <c r="U13" i="200" s="1"/>
  <c r="U12" i="200"/>
  <c r="T12" i="200"/>
  <c r="U11" i="200"/>
  <c r="T11" i="200"/>
  <c r="T10" i="200"/>
  <c r="U10" i="200" s="1"/>
  <c r="T9" i="200"/>
  <c r="U8" i="200"/>
  <c r="T8" i="200"/>
  <c r="U7" i="200"/>
  <c r="T7" i="200"/>
  <c r="T6" i="200"/>
  <c r="U6" i="200" s="1"/>
  <c r="T5" i="200"/>
  <c r="U5" i="200" s="1"/>
  <c r="Y4" i="200"/>
  <c r="Z4" i="200" s="1"/>
  <c r="Q4" i="200"/>
  <c r="P4" i="200"/>
  <c r="B1" i="200"/>
  <c r="K116" i="199"/>
  <c r="K117" i="199" s="1"/>
  <c r="K115" i="199"/>
  <c r="Y93" i="199"/>
  <c r="T93" i="199"/>
  <c r="Q93" i="199"/>
  <c r="B93" i="199"/>
  <c r="Y71" i="199"/>
  <c r="T71" i="199"/>
  <c r="Q71" i="199"/>
  <c r="Y49" i="199"/>
  <c r="T49" i="199"/>
  <c r="Q49" i="199"/>
  <c r="D49" i="199"/>
  <c r="D71" i="199" s="1"/>
  <c r="D93" i="199" s="1"/>
  <c r="Y27" i="199"/>
  <c r="G27" i="199"/>
  <c r="G49" i="199" s="1"/>
  <c r="G71" i="199" s="1"/>
  <c r="G93" i="199" s="1"/>
  <c r="F27" i="199"/>
  <c r="F49" i="199" s="1"/>
  <c r="F71" i="199" s="1"/>
  <c r="F93" i="199" s="1"/>
  <c r="E27" i="199"/>
  <c r="E49" i="199" s="1"/>
  <c r="E71" i="199" s="1"/>
  <c r="E93" i="199" s="1"/>
  <c r="D27" i="199"/>
  <c r="C27" i="199"/>
  <c r="C49" i="199" s="1"/>
  <c r="C71" i="199" s="1"/>
  <c r="C93" i="199" s="1"/>
  <c r="B27" i="199"/>
  <c r="B49" i="199" s="1"/>
  <c r="B71" i="199" s="1"/>
  <c r="T17" i="199"/>
  <c r="U17" i="199" s="1"/>
  <c r="U16" i="199"/>
  <c r="T16" i="199"/>
  <c r="U15" i="199"/>
  <c r="T15" i="199"/>
  <c r="U14" i="199"/>
  <c r="T14" i="199"/>
  <c r="T13" i="199"/>
  <c r="U13" i="199" s="1"/>
  <c r="U12" i="199"/>
  <c r="T12" i="199"/>
  <c r="U11" i="199"/>
  <c r="T11" i="199"/>
  <c r="U10" i="199"/>
  <c r="T10" i="199"/>
  <c r="T9" i="199"/>
  <c r="U9" i="199" s="1"/>
  <c r="T8" i="199"/>
  <c r="U8" i="199" s="1"/>
  <c r="U7" i="199"/>
  <c r="T7" i="199"/>
  <c r="U6" i="199"/>
  <c r="T6" i="199"/>
  <c r="T5" i="199"/>
  <c r="Y4" i="199"/>
  <c r="Z4" i="199" s="1"/>
  <c r="Q4" i="199"/>
  <c r="P4" i="199"/>
  <c r="B1" i="199"/>
  <c r="K116" i="198"/>
  <c r="K117" i="198" s="1"/>
  <c r="K115" i="198"/>
  <c r="Y93" i="198"/>
  <c r="T93" i="198"/>
  <c r="Q93" i="198"/>
  <c r="E93" i="198"/>
  <c r="Y71" i="198"/>
  <c r="T71" i="198"/>
  <c r="Q71" i="198"/>
  <c r="F71" i="198"/>
  <c r="F93" i="198" s="1"/>
  <c r="Y49" i="198"/>
  <c r="Y115" i="198" s="1"/>
  <c r="T49" i="198"/>
  <c r="Q49" i="198"/>
  <c r="G49" i="198"/>
  <c r="G71" i="198" s="1"/>
  <c r="G93" i="198" s="1"/>
  <c r="E49" i="198"/>
  <c r="E71" i="198" s="1"/>
  <c r="B49" i="198"/>
  <c r="B71" i="198" s="1"/>
  <c r="B93" i="198" s="1"/>
  <c r="Y27" i="198"/>
  <c r="G27" i="198"/>
  <c r="F27" i="198"/>
  <c r="F49" i="198" s="1"/>
  <c r="E27" i="198"/>
  <c r="D27" i="198"/>
  <c r="D49" i="198" s="1"/>
  <c r="D71" i="198" s="1"/>
  <c r="D93" i="198" s="1"/>
  <c r="C27" i="198"/>
  <c r="C49" i="198" s="1"/>
  <c r="C71" i="198" s="1"/>
  <c r="C93" i="198" s="1"/>
  <c r="B27" i="198"/>
  <c r="U14" i="198"/>
  <c r="T14" i="198"/>
  <c r="T13" i="198"/>
  <c r="U13" i="198" s="1"/>
  <c r="T12" i="198"/>
  <c r="U12" i="198" s="1"/>
  <c r="U11" i="198"/>
  <c r="T11" i="198"/>
  <c r="U10" i="198"/>
  <c r="T10" i="198"/>
  <c r="T9" i="198"/>
  <c r="U9" i="198" s="1"/>
  <c r="T8" i="198"/>
  <c r="U8" i="198" s="1"/>
  <c r="U7" i="198"/>
  <c r="T7" i="198"/>
  <c r="U6" i="198"/>
  <c r="T6" i="198"/>
  <c r="T5" i="198"/>
  <c r="Y4" i="198"/>
  <c r="Z4" i="198" s="1"/>
  <c r="Q4" i="198"/>
  <c r="P4" i="198"/>
  <c r="B1" i="198"/>
  <c r="K116" i="197"/>
  <c r="K117" i="197" s="1"/>
  <c r="K115" i="197"/>
  <c r="Y93" i="197"/>
  <c r="T93" i="197"/>
  <c r="Q93" i="197"/>
  <c r="Y71" i="197"/>
  <c r="T71" i="197"/>
  <c r="Q71" i="197"/>
  <c r="F71" i="197"/>
  <c r="F93" i="197" s="1"/>
  <c r="Y49" i="197"/>
  <c r="Y115" i="197" s="1"/>
  <c r="T49" i="197"/>
  <c r="Q49" i="197"/>
  <c r="G49" i="197"/>
  <c r="G71" i="197" s="1"/>
  <c r="G93" i="197" s="1"/>
  <c r="E49" i="197"/>
  <c r="E71" i="197" s="1"/>
  <c r="E93" i="197" s="1"/>
  <c r="B49" i="197"/>
  <c r="B71" i="197" s="1"/>
  <c r="B93" i="197" s="1"/>
  <c r="Y27" i="197"/>
  <c r="G27" i="197"/>
  <c r="F27" i="197"/>
  <c r="F49" i="197" s="1"/>
  <c r="E27" i="197"/>
  <c r="D27" i="197"/>
  <c r="D49" i="197" s="1"/>
  <c r="D71" i="197" s="1"/>
  <c r="D93" i="197" s="1"/>
  <c r="C27" i="197"/>
  <c r="C49" i="197" s="1"/>
  <c r="C71" i="197" s="1"/>
  <c r="C93" i="197" s="1"/>
  <c r="B27" i="197"/>
  <c r="U12" i="197"/>
  <c r="T12" i="197"/>
  <c r="T11" i="197"/>
  <c r="U11" i="197" s="1"/>
  <c r="T10" i="197"/>
  <c r="U10" i="197" s="1"/>
  <c r="U9" i="197"/>
  <c r="T9" i="197"/>
  <c r="U8" i="197"/>
  <c r="T8" i="197"/>
  <c r="T7" i="197"/>
  <c r="U7" i="197" s="1"/>
  <c r="T6" i="197"/>
  <c r="U6" i="197" s="1"/>
  <c r="U5" i="197"/>
  <c r="T5" i="197"/>
  <c r="Z4" i="197"/>
  <c r="Y4" i="197"/>
  <c r="Q4" i="197"/>
  <c r="P4" i="197"/>
  <c r="B1" i="197"/>
  <c r="K115" i="196"/>
  <c r="K116" i="196" s="1"/>
  <c r="K117" i="196" s="1"/>
  <c r="Y93" i="196"/>
  <c r="T93" i="196"/>
  <c r="Q93" i="196"/>
  <c r="D93" i="196"/>
  <c r="Y71" i="196"/>
  <c r="Y115" i="196" s="1"/>
  <c r="T71" i="196"/>
  <c r="Q71" i="196"/>
  <c r="Y49" i="196"/>
  <c r="T49" i="196"/>
  <c r="Q49" i="196"/>
  <c r="F49" i="196"/>
  <c r="F71" i="196" s="1"/>
  <c r="F93" i="196" s="1"/>
  <c r="C49" i="196"/>
  <c r="C71" i="196" s="1"/>
  <c r="C93" i="196" s="1"/>
  <c r="Y27" i="196"/>
  <c r="G27" i="196"/>
  <c r="G49" i="196" s="1"/>
  <c r="G71" i="196" s="1"/>
  <c r="G93" i="196" s="1"/>
  <c r="F27" i="196"/>
  <c r="E27" i="196"/>
  <c r="E49" i="196" s="1"/>
  <c r="E71" i="196" s="1"/>
  <c r="E93" i="196" s="1"/>
  <c r="D27" i="196"/>
  <c r="D49" i="196" s="1"/>
  <c r="D71" i="196" s="1"/>
  <c r="C27" i="196"/>
  <c r="B27" i="196"/>
  <c r="B49" i="196" s="1"/>
  <c r="B71" i="196" s="1"/>
  <c r="B93" i="196" s="1"/>
  <c r="T16" i="196"/>
  <c r="U16" i="196" s="1"/>
  <c r="S16" i="196"/>
  <c r="T15" i="196"/>
  <c r="U15" i="196" s="1"/>
  <c r="U14" i="196"/>
  <c r="T14" i="196"/>
  <c r="U13" i="196"/>
  <c r="T13" i="196"/>
  <c r="U12" i="196"/>
  <c r="T12" i="196"/>
  <c r="T11" i="196"/>
  <c r="U11" i="196" s="1"/>
  <c r="U10" i="196"/>
  <c r="T10" i="196"/>
  <c r="U9" i="196"/>
  <c r="T9" i="196"/>
  <c r="U8" i="196"/>
  <c r="T8" i="196"/>
  <c r="T7" i="196"/>
  <c r="U7" i="196" s="1"/>
  <c r="U6" i="196"/>
  <c r="T6" i="196"/>
  <c r="U5" i="196"/>
  <c r="T5" i="196"/>
  <c r="T4" i="196" s="1"/>
  <c r="Z4" i="196"/>
  <c r="Y4" i="196"/>
  <c r="Q4" i="196"/>
  <c r="P4" i="196"/>
  <c r="B1" i="196"/>
  <c r="K115" i="195"/>
  <c r="Y93" i="195"/>
  <c r="T93" i="195"/>
  <c r="Q93" i="195"/>
  <c r="F93" i="195"/>
  <c r="Y71" i="195"/>
  <c r="Y115" i="195" s="1"/>
  <c r="T71" i="195"/>
  <c r="Q71" i="195"/>
  <c r="Y49" i="195"/>
  <c r="T49" i="195"/>
  <c r="Q49" i="195"/>
  <c r="F49" i="195"/>
  <c r="F71" i="195" s="1"/>
  <c r="C49" i="195"/>
  <c r="C71" i="195" s="1"/>
  <c r="C93" i="195" s="1"/>
  <c r="T33" i="195"/>
  <c r="U33" i="195" s="1"/>
  <c r="T32" i="195"/>
  <c r="U32" i="195" s="1"/>
  <c r="U31" i="195"/>
  <c r="T31" i="195"/>
  <c r="U30" i="195"/>
  <c r="T30" i="195"/>
  <c r="T29" i="195"/>
  <c r="U29" i="195" s="1"/>
  <c r="T28" i="195"/>
  <c r="U28" i="195" s="1"/>
  <c r="Z27" i="195"/>
  <c r="Y27" i="195"/>
  <c r="T27" i="195"/>
  <c r="Q27" i="195"/>
  <c r="P27" i="195"/>
  <c r="G27" i="195"/>
  <c r="G49" i="195" s="1"/>
  <c r="G71" i="195" s="1"/>
  <c r="G93" i="195" s="1"/>
  <c r="F27" i="195"/>
  <c r="E27" i="195"/>
  <c r="E49" i="195" s="1"/>
  <c r="E71" i="195" s="1"/>
  <c r="E93" i="195" s="1"/>
  <c r="D27" i="195"/>
  <c r="D49" i="195" s="1"/>
  <c r="D71" i="195" s="1"/>
  <c r="D93" i="195" s="1"/>
  <c r="C27" i="195"/>
  <c r="B27" i="195"/>
  <c r="B49" i="195" s="1"/>
  <c r="B71" i="195" s="1"/>
  <c r="B93" i="195" s="1"/>
  <c r="U12" i="195"/>
  <c r="T12" i="195"/>
  <c r="U11" i="195"/>
  <c r="T11" i="195"/>
  <c r="U10" i="195"/>
  <c r="T10" i="195"/>
  <c r="T9" i="195"/>
  <c r="U9" i="195" s="1"/>
  <c r="U8" i="195"/>
  <c r="T8" i="195"/>
  <c r="U7" i="195"/>
  <c r="T7" i="195"/>
  <c r="U6" i="195"/>
  <c r="T6" i="195"/>
  <c r="T5" i="195"/>
  <c r="U5" i="195" s="1"/>
  <c r="Z4" i="195"/>
  <c r="Y4" i="195"/>
  <c r="Q4" i="195"/>
  <c r="P4" i="195"/>
  <c r="B1" i="195"/>
  <c r="K116" i="194"/>
  <c r="K117" i="194" s="1"/>
  <c r="K115" i="194"/>
  <c r="Y93" i="194"/>
  <c r="Y115" i="194" s="1"/>
  <c r="T93" i="194"/>
  <c r="Q93" i="194"/>
  <c r="B93" i="194"/>
  <c r="Y71" i="194"/>
  <c r="T71" i="194"/>
  <c r="Q71" i="194"/>
  <c r="F71" i="194"/>
  <c r="F93" i="194" s="1"/>
  <c r="C71" i="194"/>
  <c r="C93" i="194" s="1"/>
  <c r="Y49" i="194"/>
  <c r="T49" i="194"/>
  <c r="Q49" i="194"/>
  <c r="G49" i="194"/>
  <c r="G71" i="194" s="1"/>
  <c r="G93" i="194" s="1"/>
  <c r="F49" i="194"/>
  <c r="D49" i="194"/>
  <c r="D71" i="194" s="1"/>
  <c r="D93" i="194" s="1"/>
  <c r="C49" i="194"/>
  <c r="G27" i="194"/>
  <c r="F27" i="194"/>
  <c r="E27" i="194"/>
  <c r="E49" i="194" s="1"/>
  <c r="E71" i="194" s="1"/>
  <c r="E93" i="194" s="1"/>
  <c r="D27" i="194"/>
  <c r="C27" i="194"/>
  <c r="B27" i="194"/>
  <c r="B49" i="194" s="1"/>
  <c r="B71" i="194" s="1"/>
  <c r="T6" i="194"/>
  <c r="U6" i="194" s="1"/>
  <c r="U5" i="194"/>
  <c r="T5" i="194"/>
  <c r="Z4" i="194"/>
  <c r="Y4" i="194"/>
  <c r="Q4" i="194"/>
  <c r="P4" i="194"/>
  <c r="B1" i="194"/>
  <c r="Y115" i="193"/>
  <c r="K115" i="193"/>
  <c r="K116" i="193" s="1"/>
  <c r="K117" i="193" s="1"/>
  <c r="Y93" i="193"/>
  <c r="T93" i="193"/>
  <c r="Q93" i="193"/>
  <c r="Y71" i="193"/>
  <c r="T71" i="193"/>
  <c r="Q71" i="193"/>
  <c r="E71" i="193"/>
  <c r="E93" i="193" s="1"/>
  <c r="B71" i="193"/>
  <c r="B93" i="193" s="1"/>
  <c r="Y49" i="193"/>
  <c r="T49" i="193"/>
  <c r="Q49" i="193"/>
  <c r="F49" i="193"/>
  <c r="F71" i="193" s="1"/>
  <c r="F93" i="193" s="1"/>
  <c r="E49" i="193"/>
  <c r="C49" i="193"/>
  <c r="C71" i="193" s="1"/>
  <c r="C93" i="193" s="1"/>
  <c r="B49" i="193"/>
  <c r="G27" i="193"/>
  <c r="G49" i="193" s="1"/>
  <c r="G71" i="193" s="1"/>
  <c r="G93" i="193" s="1"/>
  <c r="F27" i="193"/>
  <c r="E27" i="193"/>
  <c r="D27" i="193"/>
  <c r="D49" i="193" s="1"/>
  <c r="D71" i="193" s="1"/>
  <c r="D93" i="193" s="1"/>
  <c r="C27" i="193"/>
  <c r="B27" i="193"/>
  <c r="U15" i="193"/>
  <c r="T15" i="193"/>
  <c r="U14" i="193"/>
  <c r="T14" i="193"/>
  <c r="T13" i="193"/>
  <c r="U13" i="193" s="1"/>
  <c r="U12" i="193"/>
  <c r="T12" i="193"/>
  <c r="U11" i="193"/>
  <c r="T11" i="193"/>
  <c r="U10" i="193"/>
  <c r="T10" i="193"/>
  <c r="T9" i="193"/>
  <c r="U9" i="193" s="1"/>
  <c r="U8" i="193"/>
  <c r="T8" i="193"/>
  <c r="U7" i="193"/>
  <c r="T7" i="193"/>
  <c r="U6" i="193"/>
  <c r="T6" i="193"/>
  <c r="T5" i="193"/>
  <c r="U5" i="193" s="1"/>
  <c r="Z4" i="193"/>
  <c r="Y4" i="193"/>
  <c r="Q4" i="193"/>
  <c r="P4" i="193"/>
  <c r="B1" i="193"/>
  <c r="K115" i="192"/>
  <c r="Y93" i="192"/>
  <c r="T93" i="192"/>
  <c r="Q93" i="192"/>
  <c r="E93" i="192"/>
  <c r="Y71" i="192"/>
  <c r="T71" i="192"/>
  <c r="Q71" i="192"/>
  <c r="Y49" i="192"/>
  <c r="T49" i="192"/>
  <c r="Q49" i="192"/>
  <c r="G49" i="192"/>
  <c r="G71" i="192" s="1"/>
  <c r="G93" i="192" s="1"/>
  <c r="D49" i="192"/>
  <c r="D71" i="192" s="1"/>
  <c r="D93" i="192" s="1"/>
  <c r="B49" i="192"/>
  <c r="B71" i="192" s="1"/>
  <c r="B93" i="192" s="1"/>
  <c r="U29" i="192"/>
  <c r="T29" i="192"/>
  <c r="U28" i="192"/>
  <c r="T28" i="192"/>
  <c r="T27" i="192" s="1"/>
  <c r="Y27" i="192"/>
  <c r="Z27" i="192" s="1"/>
  <c r="Q27" i="192"/>
  <c r="P27" i="192"/>
  <c r="G27" i="192"/>
  <c r="F27" i="192"/>
  <c r="F49" i="192" s="1"/>
  <c r="F71" i="192" s="1"/>
  <c r="F93" i="192" s="1"/>
  <c r="E27" i="192"/>
  <c r="E49" i="192" s="1"/>
  <c r="E71" i="192" s="1"/>
  <c r="D27" i="192"/>
  <c r="C27" i="192"/>
  <c r="C49" i="192" s="1"/>
  <c r="C71" i="192" s="1"/>
  <c r="C93" i="192" s="1"/>
  <c r="B27" i="192"/>
  <c r="U16" i="192"/>
  <c r="T16" i="192"/>
  <c r="T15" i="192"/>
  <c r="U15" i="192" s="1"/>
  <c r="U14" i="192"/>
  <c r="T14" i="192"/>
  <c r="U13" i="192"/>
  <c r="T13" i="192"/>
  <c r="U12" i="192"/>
  <c r="T12" i="192"/>
  <c r="T11" i="192"/>
  <c r="U11" i="192" s="1"/>
  <c r="U10" i="192"/>
  <c r="T10" i="192"/>
  <c r="U9" i="192"/>
  <c r="T9" i="192"/>
  <c r="U8" i="192"/>
  <c r="T8" i="192"/>
  <c r="T7" i="192"/>
  <c r="U7" i="192" s="1"/>
  <c r="U6" i="192"/>
  <c r="T6" i="192"/>
  <c r="U5" i="192"/>
  <c r="T5" i="192"/>
  <c r="Z4" i="192"/>
  <c r="Y4" i="192"/>
  <c r="Q4" i="192"/>
  <c r="P4" i="192"/>
  <c r="B1" i="192"/>
  <c r="K115" i="191"/>
  <c r="Y93" i="191"/>
  <c r="T93" i="191"/>
  <c r="Q93" i="191"/>
  <c r="Y71" i="191"/>
  <c r="Y115" i="191" s="1"/>
  <c r="T71" i="191"/>
  <c r="Q71" i="191"/>
  <c r="Y49" i="191"/>
  <c r="T49" i="191"/>
  <c r="Q49" i="191"/>
  <c r="F49" i="191"/>
  <c r="F71" i="191" s="1"/>
  <c r="F93" i="191" s="1"/>
  <c r="C49" i="191"/>
  <c r="C71" i="191" s="1"/>
  <c r="C93" i="191" s="1"/>
  <c r="T29" i="191"/>
  <c r="T28" i="191"/>
  <c r="U28" i="191" s="1"/>
  <c r="Z27" i="191"/>
  <c r="Y27" i="191"/>
  <c r="Q27" i="191"/>
  <c r="P27" i="191"/>
  <c r="G27" i="191"/>
  <c r="G49" i="191" s="1"/>
  <c r="G71" i="191" s="1"/>
  <c r="G93" i="191" s="1"/>
  <c r="F27" i="191"/>
  <c r="E27" i="191"/>
  <c r="E49" i="191" s="1"/>
  <c r="E71" i="191" s="1"/>
  <c r="E93" i="191" s="1"/>
  <c r="D27" i="191"/>
  <c r="D49" i="191" s="1"/>
  <c r="D71" i="191" s="1"/>
  <c r="D93" i="191" s="1"/>
  <c r="C27" i="191"/>
  <c r="B27" i="191"/>
  <c r="B49" i="191" s="1"/>
  <c r="B71" i="191" s="1"/>
  <c r="B93" i="191" s="1"/>
  <c r="T16" i="191"/>
  <c r="T15" i="191"/>
  <c r="U15" i="191" s="1"/>
  <c r="T14" i="191"/>
  <c r="U14" i="191" s="1"/>
  <c r="U13" i="191"/>
  <c r="T13" i="191"/>
  <c r="U12" i="191"/>
  <c r="T12" i="191"/>
  <c r="T11" i="191"/>
  <c r="U11" i="191" s="1"/>
  <c r="T10" i="191"/>
  <c r="U10" i="191" s="1"/>
  <c r="U9" i="191"/>
  <c r="T9" i="191"/>
  <c r="U8" i="191"/>
  <c r="T8" i="191"/>
  <c r="T7" i="191"/>
  <c r="U7" i="191" s="1"/>
  <c r="T6" i="191"/>
  <c r="U6" i="191" s="1"/>
  <c r="U5" i="191"/>
  <c r="T5" i="191"/>
  <c r="AG4" i="191"/>
  <c r="Z4" i="191"/>
  <c r="Y4" i="191"/>
  <c r="Q4" i="191"/>
  <c r="P4" i="191"/>
  <c r="B1" i="191"/>
  <c r="K116" i="190"/>
  <c r="K117" i="190" s="1"/>
  <c r="K115" i="190"/>
  <c r="Y93" i="190"/>
  <c r="Y115" i="190" s="1"/>
  <c r="T93" i="190"/>
  <c r="Q93" i="190"/>
  <c r="E93" i="190"/>
  <c r="B93" i="190"/>
  <c r="Y71" i="190"/>
  <c r="T71" i="190"/>
  <c r="Q71" i="190"/>
  <c r="F71" i="190"/>
  <c r="F93" i="190" s="1"/>
  <c r="C71" i="190"/>
  <c r="C93" i="190" s="1"/>
  <c r="Y49" i="190"/>
  <c r="T49" i="190"/>
  <c r="Q49" i="190"/>
  <c r="G49" i="190"/>
  <c r="G71" i="190" s="1"/>
  <c r="G93" i="190" s="1"/>
  <c r="F49" i="190"/>
  <c r="D49" i="190"/>
  <c r="D71" i="190" s="1"/>
  <c r="D93" i="190" s="1"/>
  <c r="G27" i="190"/>
  <c r="F27" i="190"/>
  <c r="E27" i="190"/>
  <c r="E49" i="190" s="1"/>
  <c r="E71" i="190" s="1"/>
  <c r="D27" i="190"/>
  <c r="C27" i="190"/>
  <c r="C49" i="190" s="1"/>
  <c r="B27" i="190"/>
  <c r="B49" i="190" s="1"/>
  <c r="B71" i="190" s="1"/>
  <c r="T12" i="190"/>
  <c r="U12" i="190" s="1"/>
  <c r="U11" i="190"/>
  <c r="T11" i="190"/>
  <c r="U10" i="190"/>
  <c r="T10" i="190"/>
  <c r="T9" i="190"/>
  <c r="U9" i="190" s="1"/>
  <c r="T8" i="190"/>
  <c r="U8" i="190" s="1"/>
  <c r="U7" i="190"/>
  <c r="T7" i="190"/>
  <c r="U6" i="190"/>
  <c r="T6" i="190"/>
  <c r="T5" i="190"/>
  <c r="Y4" i="190"/>
  <c r="Z4" i="190" s="1"/>
  <c r="Q4" i="190"/>
  <c r="P4" i="190"/>
  <c r="B1" i="190"/>
  <c r="K116" i="189"/>
  <c r="K117" i="189" s="1"/>
  <c r="K115" i="189"/>
  <c r="Y93" i="189"/>
  <c r="T93" i="189"/>
  <c r="Q93" i="189"/>
  <c r="Y71" i="189"/>
  <c r="T71" i="189"/>
  <c r="Q71" i="189"/>
  <c r="F71" i="189"/>
  <c r="F93" i="189" s="1"/>
  <c r="D71" i="189"/>
  <c r="D93" i="189" s="1"/>
  <c r="Y49" i="189"/>
  <c r="T49" i="189"/>
  <c r="Q49" i="189"/>
  <c r="G49" i="189"/>
  <c r="G71" i="189" s="1"/>
  <c r="G93" i="189" s="1"/>
  <c r="D49" i="189"/>
  <c r="B49" i="189"/>
  <c r="B71" i="189" s="1"/>
  <c r="B93" i="189" s="1"/>
  <c r="G27" i="189"/>
  <c r="F27" i="189"/>
  <c r="F49" i="189" s="1"/>
  <c r="E27" i="189"/>
  <c r="E49" i="189" s="1"/>
  <c r="E71" i="189" s="1"/>
  <c r="E93" i="189" s="1"/>
  <c r="D27" i="189"/>
  <c r="C27" i="189"/>
  <c r="C49" i="189" s="1"/>
  <c r="C71" i="189" s="1"/>
  <c r="C93" i="189" s="1"/>
  <c r="B27" i="189"/>
  <c r="T6" i="189"/>
  <c r="U5" i="189"/>
  <c r="T5" i="189"/>
  <c r="Z4" i="189"/>
  <c r="Y4" i="189"/>
  <c r="Q4" i="189"/>
  <c r="P4" i="189"/>
  <c r="B1" i="189"/>
  <c r="Y115" i="188"/>
  <c r="K115" i="188"/>
  <c r="K116" i="188" s="1"/>
  <c r="K117" i="188" s="1"/>
  <c r="Y93" i="188"/>
  <c r="T93" i="188"/>
  <c r="Q93" i="188"/>
  <c r="D93" i="188"/>
  <c r="Y71" i="188"/>
  <c r="T71" i="188"/>
  <c r="Q71" i="188"/>
  <c r="E71" i="188"/>
  <c r="E93" i="188" s="1"/>
  <c r="C71" i="188"/>
  <c r="C93" i="188" s="1"/>
  <c r="Y49" i="188"/>
  <c r="T49" i="188"/>
  <c r="Q49" i="188"/>
  <c r="F49" i="188"/>
  <c r="F71" i="188" s="1"/>
  <c r="F93" i="188" s="1"/>
  <c r="E49" i="188"/>
  <c r="C49" i="188"/>
  <c r="G27" i="188"/>
  <c r="G49" i="188" s="1"/>
  <c r="G71" i="188" s="1"/>
  <c r="G93" i="188" s="1"/>
  <c r="F27" i="188"/>
  <c r="E27" i="188"/>
  <c r="D27" i="188"/>
  <c r="D49" i="188" s="1"/>
  <c r="D71" i="188" s="1"/>
  <c r="C27" i="188"/>
  <c r="B27" i="188"/>
  <c r="B49" i="188" s="1"/>
  <c r="B71" i="188" s="1"/>
  <c r="B93" i="188" s="1"/>
  <c r="U7" i="188"/>
  <c r="T7" i="188"/>
  <c r="U6" i="188"/>
  <c r="T6" i="188"/>
  <c r="T5" i="188"/>
  <c r="Y4" i="188"/>
  <c r="Z4" i="188" s="1"/>
  <c r="Q4" i="188"/>
  <c r="P4" i="188"/>
  <c r="B1" i="188"/>
  <c r="K116" i="187"/>
  <c r="K117" i="187" s="1"/>
  <c r="K115" i="187"/>
  <c r="Y93" i="187"/>
  <c r="T93" i="187"/>
  <c r="Q93" i="187"/>
  <c r="Y71" i="187"/>
  <c r="T71" i="187"/>
  <c r="Q71" i="187"/>
  <c r="F71" i="187"/>
  <c r="F93" i="187" s="1"/>
  <c r="D71" i="187"/>
  <c r="D93" i="187" s="1"/>
  <c r="Y49" i="187"/>
  <c r="T49" i="187"/>
  <c r="Q49" i="187"/>
  <c r="G49" i="187"/>
  <c r="G71" i="187" s="1"/>
  <c r="G93" i="187" s="1"/>
  <c r="D49" i="187"/>
  <c r="B49" i="187"/>
  <c r="B71" i="187" s="1"/>
  <c r="B93" i="187" s="1"/>
  <c r="G27" i="187"/>
  <c r="F27" i="187"/>
  <c r="F49" i="187" s="1"/>
  <c r="E27" i="187"/>
  <c r="E49" i="187" s="1"/>
  <c r="E71" i="187" s="1"/>
  <c r="E93" i="187" s="1"/>
  <c r="D27" i="187"/>
  <c r="C27" i="187"/>
  <c r="C49" i="187" s="1"/>
  <c r="C71" i="187" s="1"/>
  <c r="C93" i="187" s="1"/>
  <c r="B27" i="187"/>
  <c r="Y23" i="187"/>
  <c r="Y22" i="187"/>
  <c r="Y21" i="187"/>
  <c r="Y20" i="187"/>
  <c r="Y19" i="187"/>
  <c r="Y18" i="187"/>
  <c r="U16" i="187"/>
  <c r="T16" i="187"/>
  <c r="T15" i="187"/>
  <c r="U15" i="187" s="1"/>
  <c r="U14" i="187"/>
  <c r="T14" i="187"/>
  <c r="U13" i="187"/>
  <c r="T13" i="187"/>
  <c r="U12" i="187"/>
  <c r="T12" i="187"/>
  <c r="T11" i="187"/>
  <c r="U11" i="187" s="1"/>
  <c r="U10" i="187"/>
  <c r="T10" i="187"/>
  <c r="U9" i="187"/>
  <c r="T9" i="187"/>
  <c r="U8" i="187"/>
  <c r="T8" i="187"/>
  <c r="T7" i="187"/>
  <c r="U7" i="187" s="1"/>
  <c r="U6" i="187"/>
  <c r="T6" i="187"/>
  <c r="U5" i="187"/>
  <c r="T5" i="187"/>
  <c r="Z4" i="187"/>
  <c r="Y4" i="187"/>
  <c r="Q4" i="187"/>
  <c r="P4" i="187"/>
  <c r="B1" i="187"/>
  <c r="K117" i="186"/>
  <c r="K115" i="186"/>
  <c r="K116" i="186" s="1"/>
  <c r="Y93" i="186"/>
  <c r="T93" i="186"/>
  <c r="Q93" i="186"/>
  <c r="Y71" i="186"/>
  <c r="Y115" i="186" s="1"/>
  <c r="T71" i="186"/>
  <c r="Q71" i="186"/>
  <c r="B71" i="186"/>
  <c r="B93" i="186" s="1"/>
  <c r="Y49" i="186"/>
  <c r="T49" i="186"/>
  <c r="Q49" i="186"/>
  <c r="F49" i="186"/>
  <c r="F71" i="186" s="1"/>
  <c r="F93" i="186" s="1"/>
  <c r="C49" i="186"/>
  <c r="C71" i="186" s="1"/>
  <c r="C93" i="186" s="1"/>
  <c r="B49" i="186"/>
  <c r="T34" i="186"/>
  <c r="U34" i="186" s="1"/>
  <c r="T33" i="186"/>
  <c r="U33" i="186" s="1"/>
  <c r="U32" i="186"/>
  <c r="T32" i="186"/>
  <c r="U31" i="186"/>
  <c r="T31" i="186"/>
  <c r="T30" i="186"/>
  <c r="U30" i="186" s="1"/>
  <c r="T29" i="186"/>
  <c r="U29" i="186" s="1"/>
  <c r="U28" i="186"/>
  <c r="T28" i="186"/>
  <c r="Z27" i="186"/>
  <c r="Y27" i="186"/>
  <c r="Q27" i="186"/>
  <c r="P27" i="186"/>
  <c r="G27" i="186"/>
  <c r="G49" i="186" s="1"/>
  <c r="G71" i="186" s="1"/>
  <c r="G93" i="186" s="1"/>
  <c r="F27" i="186"/>
  <c r="E27" i="186"/>
  <c r="E49" i="186" s="1"/>
  <c r="E71" i="186" s="1"/>
  <c r="E93" i="186" s="1"/>
  <c r="D27" i="186"/>
  <c r="D49" i="186" s="1"/>
  <c r="D71" i="186" s="1"/>
  <c r="D93" i="186" s="1"/>
  <c r="C27" i="186"/>
  <c r="B27" i="186"/>
  <c r="U11" i="186"/>
  <c r="T11" i="186"/>
  <c r="U10" i="186"/>
  <c r="T10" i="186"/>
  <c r="T9" i="186"/>
  <c r="U9" i="186" s="1"/>
  <c r="U8" i="186"/>
  <c r="T8" i="186"/>
  <c r="U7" i="186"/>
  <c r="T7" i="186"/>
  <c r="U6" i="186"/>
  <c r="T6" i="186"/>
  <c r="T5" i="186"/>
  <c r="U5" i="186" s="1"/>
  <c r="Z4" i="186"/>
  <c r="Y4" i="186"/>
  <c r="T4" i="186"/>
  <c r="Q4" i="186"/>
  <c r="P4" i="186"/>
  <c r="B1" i="186"/>
  <c r="K116" i="185"/>
  <c r="K117" i="185" s="1"/>
  <c r="K115" i="185"/>
  <c r="Y93" i="185"/>
  <c r="Y115" i="185" s="1"/>
  <c r="T93" i="185"/>
  <c r="Q93" i="185"/>
  <c r="E93" i="185"/>
  <c r="Y71" i="185"/>
  <c r="T71" i="185"/>
  <c r="Q71" i="185"/>
  <c r="F71" i="185"/>
  <c r="F93" i="185" s="1"/>
  <c r="C71" i="185"/>
  <c r="C93" i="185" s="1"/>
  <c r="Y49" i="185"/>
  <c r="T49" i="185"/>
  <c r="Q49" i="185"/>
  <c r="G49" i="185"/>
  <c r="G71" i="185" s="1"/>
  <c r="G93" i="185" s="1"/>
  <c r="D49" i="185"/>
  <c r="D71" i="185" s="1"/>
  <c r="D93" i="185" s="1"/>
  <c r="U38" i="185"/>
  <c r="T38" i="185"/>
  <c r="U37" i="185"/>
  <c r="T37" i="185"/>
  <c r="T36" i="185"/>
  <c r="U36" i="185" s="1"/>
  <c r="T35" i="185"/>
  <c r="U35" i="185" s="1"/>
  <c r="U34" i="185"/>
  <c r="T34" i="185"/>
  <c r="U33" i="185"/>
  <c r="T33" i="185"/>
  <c r="T32" i="185"/>
  <c r="U32" i="185" s="1"/>
  <c r="T31" i="185"/>
  <c r="U31" i="185" s="1"/>
  <c r="U30" i="185"/>
  <c r="T30" i="185"/>
  <c r="U29" i="185"/>
  <c r="T29" i="185"/>
  <c r="T28" i="185"/>
  <c r="Y27" i="185"/>
  <c r="Z27" i="185" s="1"/>
  <c r="Q27" i="185"/>
  <c r="P27" i="185"/>
  <c r="G27" i="185"/>
  <c r="F27" i="185"/>
  <c r="F49" i="185" s="1"/>
  <c r="E27" i="185"/>
  <c r="E49" i="185" s="1"/>
  <c r="E71" i="185" s="1"/>
  <c r="D27" i="185"/>
  <c r="C27" i="185"/>
  <c r="C49" i="185" s="1"/>
  <c r="B27" i="185"/>
  <c r="B49" i="185" s="1"/>
  <c r="B71" i="185" s="1"/>
  <c r="B93" i="185" s="1"/>
  <c r="T15" i="185"/>
  <c r="U15" i="185" s="1"/>
  <c r="U14" i="185"/>
  <c r="T14" i="185"/>
  <c r="U13" i="185"/>
  <c r="T13" i="185"/>
  <c r="U12" i="185"/>
  <c r="T12" i="185"/>
  <c r="T11" i="185"/>
  <c r="U11" i="185" s="1"/>
  <c r="U10" i="185"/>
  <c r="T10" i="185"/>
  <c r="U9" i="185"/>
  <c r="T9" i="185"/>
  <c r="U8" i="185"/>
  <c r="T8" i="185"/>
  <c r="T7" i="185"/>
  <c r="U7" i="185" s="1"/>
  <c r="U6" i="185"/>
  <c r="T6" i="185"/>
  <c r="U5" i="185"/>
  <c r="T5" i="185"/>
  <c r="T4" i="185" s="1"/>
  <c r="Z4" i="185"/>
  <c r="Y4" i="185"/>
  <c r="Q4" i="185"/>
  <c r="P4" i="185"/>
  <c r="B1" i="185"/>
  <c r="K117" i="184"/>
  <c r="K115" i="184"/>
  <c r="K116" i="184" s="1"/>
  <c r="Y93" i="184"/>
  <c r="T93" i="184"/>
  <c r="Q93" i="184"/>
  <c r="F93" i="184"/>
  <c r="Y71" i="184"/>
  <c r="Y115" i="184" s="1"/>
  <c r="T71" i="184"/>
  <c r="Q71" i="184"/>
  <c r="E71" i="184"/>
  <c r="E93" i="184" s="1"/>
  <c r="B71" i="184"/>
  <c r="B93" i="184" s="1"/>
  <c r="Y49" i="184"/>
  <c r="T49" i="184"/>
  <c r="Q49" i="184"/>
  <c r="E49" i="184"/>
  <c r="C49" i="184"/>
  <c r="C71" i="184" s="1"/>
  <c r="C93" i="184" s="1"/>
  <c r="B49" i="184"/>
  <c r="G27" i="184"/>
  <c r="G49" i="184" s="1"/>
  <c r="G71" i="184" s="1"/>
  <c r="G93" i="184" s="1"/>
  <c r="F27" i="184"/>
  <c r="F49" i="184" s="1"/>
  <c r="F71" i="184" s="1"/>
  <c r="E27" i="184"/>
  <c r="D27" i="184"/>
  <c r="D49" i="184" s="1"/>
  <c r="D71" i="184" s="1"/>
  <c r="D93" i="184" s="1"/>
  <c r="C27" i="184"/>
  <c r="B27" i="184"/>
  <c r="U20" i="184"/>
  <c r="T20" i="184"/>
  <c r="T19" i="184"/>
  <c r="U19" i="184" s="1"/>
  <c r="T18" i="184"/>
  <c r="U18" i="184" s="1"/>
  <c r="U17" i="184"/>
  <c r="T17" i="184"/>
  <c r="U16" i="184"/>
  <c r="T16" i="184"/>
  <c r="T15" i="184"/>
  <c r="U15" i="184" s="1"/>
  <c r="T14" i="184"/>
  <c r="U14" i="184" s="1"/>
  <c r="U13" i="184"/>
  <c r="T13" i="184"/>
  <c r="U12" i="184"/>
  <c r="T12" i="184"/>
  <c r="T11" i="184"/>
  <c r="U11" i="184" s="1"/>
  <c r="T10" i="184"/>
  <c r="U10" i="184" s="1"/>
  <c r="U9" i="184"/>
  <c r="T9" i="184"/>
  <c r="U8" i="184"/>
  <c r="T8" i="184"/>
  <c r="T7" i="184"/>
  <c r="U7" i="184" s="1"/>
  <c r="Y6" i="184"/>
  <c r="U6" i="184"/>
  <c r="T6" i="184"/>
  <c r="Y5" i="184"/>
  <c r="T5" i="184"/>
  <c r="Z4" i="184"/>
  <c r="Q4" i="184"/>
  <c r="P4" i="184"/>
  <c r="B1" i="184"/>
  <c r="Q129" i="141"/>
  <c r="S128" i="141"/>
  <c r="S127" i="141"/>
  <c r="R128" i="141" s="1"/>
  <c r="S126" i="141"/>
  <c r="R127" i="141" s="1"/>
  <c r="S125" i="141"/>
  <c r="R126" i="141" s="1"/>
  <c r="S124" i="141"/>
  <c r="R125" i="141" s="1"/>
  <c r="S123" i="141"/>
  <c r="R124" i="141" s="1"/>
  <c r="S122" i="141"/>
  <c r="R123" i="141" s="1"/>
  <c r="S121" i="141"/>
  <c r="R122" i="141" s="1"/>
  <c r="T120" i="141"/>
  <c r="S120" i="141"/>
  <c r="R121" i="141" s="1"/>
  <c r="U119" i="141"/>
  <c r="S119" i="141"/>
  <c r="R120" i="141" s="1"/>
  <c r="K115" i="141"/>
  <c r="R114" i="141"/>
  <c r="K114" i="141"/>
  <c r="Y92" i="141"/>
  <c r="Y114" i="141" s="1"/>
  <c r="T92" i="141"/>
  <c r="Q92" i="141"/>
  <c r="Y70" i="141"/>
  <c r="T70" i="141"/>
  <c r="Q70" i="141"/>
  <c r="G70" i="141"/>
  <c r="G92" i="141" s="1"/>
  <c r="E70" i="141"/>
  <c r="E92" i="141" s="1"/>
  <c r="D70" i="141"/>
  <c r="D92" i="141" s="1"/>
  <c r="S50" i="141"/>
  <c r="T50" i="141" s="1"/>
  <c r="U50" i="141" s="1"/>
  <c r="S49" i="141"/>
  <c r="T49" i="141" s="1"/>
  <c r="Y48" i="141"/>
  <c r="Q48" i="141"/>
  <c r="G48" i="141"/>
  <c r="F48" i="141"/>
  <c r="F70" i="141" s="1"/>
  <c r="F92" i="141" s="1"/>
  <c r="E48" i="141"/>
  <c r="D48" i="141"/>
  <c r="C48" i="141"/>
  <c r="C70" i="141" s="1"/>
  <c r="C92" i="141" s="1"/>
  <c r="B48" i="141"/>
  <c r="B70" i="141" s="1"/>
  <c r="B92" i="141" s="1"/>
  <c r="T31" i="141"/>
  <c r="U31" i="141" s="1"/>
  <c r="T30" i="141"/>
  <c r="U30" i="141" s="1"/>
  <c r="T29" i="141"/>
  <c r="U29" i="141" s="1"/>
  <c r="Y28" i="141"/>
  <c r="U28" i="141"/>
  <c r="T28" i="141"/>
  <c r="Y27" i="141"/>
  <c r="T27" i="141"/>
  <c r="U27" i="141" s="1"/>
  <c r="S14" i="141"/>
  <c r="T14" i="141" s="1"/>
  <c r="U14" i="141" s="1"/>
  <c r="S13" i="141"/>
  <c r="T13" i="141" s="1"/>
  <c r="U13" i="141" s="1"/>
  <c r="T12" i="141"/>
  <c r="U12" i="141" s="1"/>
  <c r="S12" i="141"/>
  <c r="T11" i="141"/>
  <c r="U11" i="141" s="1"/>
  <c r="S11" i="141"/>
  <c r="T10" i="141"/>
  <c r="U10" i="141" s="1"/>
  <c r="S10" i="141"/>
  <c r="U9" i="141"/>
  <c r="S9" i="141"/>
  <c r="T9" i="141" s="1"/>
  <c r="S8" i="141"/>
  <c r="S7" i="141"/>
  <c r="S6" i="141"/>
  <c r="T6" i="141" s="1"/>
  <c r="U6" i="141" s="1"/>
  <c r="S5" i="141"/>
  <c r="T5" i="141" s="1"/>
  <c r="AD4" i="141"/>
  <c r="Z4" i="141"/>
  <c r="Y4" i="141"/>
  <c r="Q4" i="141"/>
  <c r="P4" i="141"/>
  <c r="B1" i="141"/>
  <c r="K117" i="183"/>
  <c r="K116" i="183"/>
  <c r="K115" i="183"/>
  <c r="Y93" i="183"/>
  <c r="T93" i="183"/>
  <c r="Q93" i="183"/>
  <c r="D93" i="183"/>
  <c r="Y71" i="183"/>
  <c r="T71" i="183"/>
  <c r="Q71" i="183"/>
  <c r="G71" i="183"/>
  <c r="G93" i="183" s="1"/>
  <c r="B71" i="183"/>
  <c r="B93" i="183" s="1"/>
  <c r="Y49" i="183"/>
  <c r="T49" i="183"/>
  <c r="Q49" i="183"/>
  <c r="G49" i="183"/>
  <c r="C49" i="183"/>
  <c r="C71" i="183" s="1"/>
  <c r="C93" i="183" s="1"/>
  <c r="B49" i="183"/>
  <c r="G27" i="183"/>
  <c r="F27" i="183"/>
  <c r="F49" i="183" s="1"/>
  <c r="F71" i="183" s="1"/>
  <c r="F93" i="183" s="1"/>
  <c r="E27" i="183"/>
  <c r="E49" i="183" s="1"/>
  <c r="E71" i="183" s="1"/>
  <c r="E93" i="183" s="1"/>
  <c r="D27" i="183"/>
  <c r="D49" i="183" s="1"/>
  <c r="D71" i="183" s="1"/>
  <c r="C27" i="183"/>
  <c r="B27" i="183"/>
  <c r="U17" i="183"/>
  <c r="T17" i="183"/>
  <c r="T16" i="183"/>
  <c r="U16" i="183" s="1"/>
  <c r="T15" i="183"/>
  <c r="U15" i="183" s="1"/>
  <c r="T14" i="183"/>
  <c r="U14" i="183" s="1"/>
  <c r="U13" i="183"/>
  <c r="T13" i="183"/>
  <c r="T12" i="183"/>
  <c r="U12" i="183" s="1"/>
  <c r="T11" i="183"/>
  <c r="U11" i="183" s="1"/>
  <c r="T10" i="183"/>
  <c r="U10" i="183" s="1"/>
  <c r="U9" i="183"/>
  <c r="T9" i="183"/>
  <c r="T8" i="183"/>
  <c r="U8" i="183" s="1"/>
  <c r="T7" i="183"/>
  <c r="U7" i="183" s="1"/>
  <c r="T6" i="183"/>
  <c r="U6" i="183" s="1"/>
  <c r="U5" i="183"/>
  <c r="T5" i="183"/>
  <c r="Y4" i="183"/>
  <c r="Z4" i="183" s="1"/>
  <c r="Q4" i="183"/>
  <c r="P4" i="183"/>
  <c r="B1" i="183"/>
  <c r="K115" i="182"/>
  <c r="K116" i="182" s="1"/>
  <c r="K117" i="182" s="1"/>
  <c r="Y93" i="182"/>
  <c r="T93" i="182"/>
  <c r="Q93" i="182"/>
  <c r="C93" i="182"/>
  <c r="Y71" i="182"/>
  <c r="T71" i="182"/>
  <c r="Q71" i="182"/>
  <c r="G71" i="182"/>
  <c r="G93" i="182" s="1"/>
  <c r="D71" i="182"/>
  <c r="D93" i="182" s="1"/>
  <c r="Y49" i="182"/>
  <c r="T49" i="182"/>
  <c r="Q49" i="182"/>
  <c r="G49" i="182"/>
  <c r="E49" i="182"/>
  <c r="E71" i="182" s="1"/>
  <c r="E93" i="182" s="1"/>
  <c r="D49" i="182"/>
  <c r="C49" i="182"/>
  <c r="C71" i="182" s="1"/>
  <c r="G27" i="182"/>
  <c r="F27" i="182"/>
  <c r="F49" i="182" s="1"/>
  <c r="F71" i="182" s="1"/>
  <c r="F93" i="182" s="1"/>
  <c r="E27" i="182"/>
  <c r="D27" i="182"/>
  <c r="C27" i="182"/>
  <c r="B27" i="182"/>
  <c r="B49" i="182" s="1"/>
  <c r="B71" i="182" s="1"/>
  <c r="B93" i="182" s="1"/>
  <c r="U14" i="182"/>
  <c r="T14" i="182"/>
  <c r="T13" i="182"/>
  <c r="U13" i="182" s="1"/>
  <c r="U12" i="182"/>
  <c r="T12" i="182"/>
  <c r="U11" i="182"/>
  <c r="T11" i="182"/>
  <c r="U10" i="182"/>
  <c r="T10" i="182"/>
  <c r="T9" i="182"/>
  <c r="U9" i="182" s="1"/>
  <c r="U8" i="182"/>
  <c r="T8" i="182"/>
  <c r="U7" i="182"/>
  <c r="T7" i="182"/>
  <c r="U6" i="182"/>
  <c r="T6" i="182"/>
  <c r="T5" i="182"/>
  <c r="U5" i="182" s="1"/>
  <c r="Z4" i="182"/>
  <c r="Y4" i="182"/>
  <c r="Q4" i="182"/>
  <c r="P4" i="182"/>
  <c r="B1" i="182"/>
  <c r="K116" i="181"/>
  <c r="K117" i="181" s="1"/>
  <c r="K115" i="181"/>
  <c r="Y93" i="181"/>
  <c r="Y115" i="181" s="1"/>
  <c r="T93" i="181"/>
  <c r="Q93" i="181"/>
  <c r="B93" i="181"/>
  <c r="Y71" i="181"/>
  <c r="T71" i="181"/>
  <c r="Q71" i="181"/>
  <c r="F71" i="181"/>
  <c r="F93" i="181" s="1"/>
  <c r="C71" i="181"/>
  <c r="C93" i="181" s="1"/>
  <c r="Y49" i="181"/>
  <c r="T49" i="181"/>
  <c r="Q49" i="181"/>
  <c r="G49" i="181"/>
  <c r="G71" i="181" s="1"/>
  <c r="G93" i="181" s="1"/>
  <c r="D49" i="181"/>
  <c r="D71" i="181" s="1"/>
  <c r="D93" i="181" s="1"/>
  <c r="B49" i="181"/>
  <c r="B71" i="181" s="1"/>
  <c r="Y27" i="181"/>
  <c r="G27" i="181"/>
  <c r="F27" i="181"/>
  <c r="F49" i="181" s="1"/>
  <c r="E27" i="181"/>
  <c r="E49" i="181" s="1"/>
  <c r="E71" i="181" s="1"/>
  <c r="E93" i="181" s="1"/>
  <c r="D27" i="181"/>
  <c r="C27" i="181"/>
  <c r="C49" i="181" s="1"/>
  <c r="B27" i="181"/>
  <c r="U17" i="181"/>
  <c r="T17" i="181"/>
  <c r="T16" i="181"/>
  <c r="U16" i="181" s="1"/>
  <c r="U15" i="181"/>
  <c r="T15" i="181"/>
  <c r="U14" i="181"/>
  <c r="T14" i="181"/>
  <c r="U13" i="181"/>
  <c r="T13" i="181"/>
  <c r="T12" i="181"/>
  <c r="U12" i="181" s="1"/>
  <c r="U11" i="181"/>
  <c r="T11" i="181"/>
  <c r="U10" i="181"/>
  <c r="T10" i="181"/>
  <c r="U9" i="181"/>
  <c r="T9" i="181"/>
  <c r="T8" i="181"/>
  <c r="U7" i="181"/>
  <c r="T7" i="181"/>
  <c r="U6" i="181"/>
  <c r="T6" i="181"/>
  <c r="U5" i="181"/>
  <c r="T5" i="181"/>
  <c r="Y4" i="181"/>
  <c r="Z4" i="181" s="1"/>
  <c r="Q4" i="181"/>
  <c r="P4" i="181"/>
  <c r="B1" i="181"/>
  <c r="K115" i="180"/>
  <c r="K116" i="180" s="1"/>
  <c r="K117" i="180" s="1"/>
  <c r="Y93" i="180"/>
  <c r="T93" i="180"/>
  <c r="Q93" i="180"/>
  <c r="F93" i="180"/>
  <c r="Y71" i="180"/>
  <c r="T71" i="180"/>
  <c r="Q71" i="180"/>
  <c r="Y49" i="180"/>
  <c r="T49" i="180"/>
  <c r="Q49" i="180"/>
  <c r="E49" i="180"/>
  <c r="E71" i="180" s="1"/>
  <c r="E93" i="180" s="1"/>
  <c r="B49" i="180"/>
  <c r="B71" i="180" s="1"/>
  <c r="B93" i="180" s="1"/>
  <c r="Y27" i="180"/>
  <c r="G27" i="180"/>
  <c r="G49" i="180" s="1"/>
  <c r="G71" i="180" s="1"/>
  <c r="G93" i="180" s="1"/>
  <c r="F27" i="180"/>
  <c r="F49" i="180" s="1"/>
  <c r="F71" i="180" s="1"/>
  <c r="E27" i="180"/>
  <c r="D27" i="180"/>
  <c r="D49" i="180" s="1"/>
  <c r="D71" i="180" s="1"/>
  <c r="D93" i="180" s="1"/>
  <c r="C27" i="180"/>
  <c r="C49" i="180" s="1"/>
  <c r="C71" i="180" s="1"/>
  <c r="C93" i="180" s="1"/>
  <c r="B27" i="180"/>
  <c r="U10" i="180"/>
  <c r="T10" i="180"/>
  <c r="U9" i="180"/>
  <c r="T9" i="180"/>
  <c r="T8" i="180"/>
  <c r="U7" i="180"/>
  <c r="T7" i="180"/>
  <c r="U6" i="180"/>
  <c r="T6" i="180"/>
  <c r="U5" i="180"/>
  <c r="T5" i="180"/>
  <c r="Y4" i="180"/>
  <c r="Z4" i="180" s="1"/>
  <c r="Q4" i="180"/>
  <c r="P4" i="180"/>
  <c r="B1" i="180"/>
  <c r="K107" i="179"/>
  <c r="K105" i="179"/>
  <c r="K106" i="179" s="1"/>
  <c r="Y83" i="179"/>
  <c r="Y105" i="179" s="1"/>
  <c r="T83" i="179"/>
  <c r="Q83" i="179"/>
  <c r="F83" i="179"/>
  <c r="C83" i="179"/>
  <c r="Y61" i="179"/>
  <c r="T61" i="179"/>
  <c r="Q61" i="179"/>
  <c r="D61" i="179"/>
  <c r="D83" i="179" s="1"/>
  <c r="C61" i="179"/>
  <c r="U51" i="179"/>
  <c r="T51" i="179"/>
  <c r="U50" i="179"/>
  <c r="T50" i="179"/>
  <c r="T49" i="179"/>
  <c r="U49" i="179" s="1"/>
  <c r="U48" i="179"/>
  <c r="T48" i="179"/>
  <c r="U47" i="179"/>
  <c r="T47" i="179"/>
  <c r="U46" i="179"/>
  <c r="T46" i="179"/>
  <c r="T45" i="179"/>
  <c r="U45" i="179" s="1"/>
  <c r="U44" i="179"/>
  <c r="T44" i="179"/>
  <c r="U43" i="179"/>
  <c r="T43" i="179"/>
  <c r="U42" i="179"/>
  <c r="T42" i="179"/>
  <c r="T41" i="179"/>
  <c r="U41" i="179" s="1"/>
  <c r="U40" i="179"/>
  <c r="T40" i="179"/>
  <c r="Z39" i="179"/>
  <c r="Y39" i="179"/>
  <c r="Q39" i="179"/>
  <c r="P39" i="179"/>
  <c r="F39" i="179"/>
  <c r="F61" i="179" s="1"/>
  <c r="D39" i="179"/>
  <c r="C39" i="179"/>
  <c r="B39" i="179"/>
  <c r="B61" i="179" s="1"/>
  <c r="B83" i="179" s="1"/>
  <c r="T29" i="179"/>
  <c r="U29" i="179" s="1"/>
  <c r="U28" i="179"/>
  <c r="T28" i="179"/>
  <c r="T27" i="179"/>
  <c r="U27" i="179" s="1"/>
  <c r="T26" i="179"/>
  <c r="U26" i="179" s="1"/>
  <c r="T25" i="179"/>
  <c r="U25" i="179" s="1"/>
  <c r="U24" i="179"/>
  <c r="T24" i="179"/>
  <c r="T23" i="179"/>
  <c r="U23" i="179" s="1"/>
  <c r="T22" i="179"/>
  <c r="U22" i="179" s="1"/>
  <c r="T21" i="179"/>
  <c r="U21" i="179" s="1"/>
  <c r="U20" i="179"/>
  <c r="T20" i="179"/>
  <c r="T19" i="179"/>
  <c r="U19" i="179" s="1"/>
  <c r="T18" i="179"/>
  <c r="Y17" i="179"/>
  <c r="Z17" i="179" s="1"/>
  <c r="Q17" i="179"/>
  <c r="P17" i="179"/>
  <c r="G17" i="179"/>
  <c r="G39" i="179" s="1"/>
  <c r="G61" i="179" s="1"/>
  <c r="G83" i="179" s="1"/>
  <c r="F17" i="179"/>
  <c r="E17" i="179"/>
  <c r="E39" i="179" s="1"/>
  <c r="E61" i="179" s="1"/>
  <c r="E83" i="179" s="1"/>
  <c r="D17" i="179"/>
  <c r="C17" i="179"/>
  <c r="B17" i="179"/>
  <c r="U16" i="179"/>
  <c r="T16" i="179"/>
  <c r="U15" i="179"/>
  <c r="T15" i="179"/>
  <c r="U14" i="179"/>
  <c r="T14" i="179"/>
  <c r="T13" i="179"/>
  <c r="U13" i="179" s="1"/>
  <c r="U12" i="179"/>
  <c r="T12" i="179"/>
  <c r="U11" i="179"/>
  <c r="T11" i="179"/>
  <c r="L11" i="179"/>
  <c r="T10" i="179"/>
  <c r="U10" i="179" s="1"/>
  <c r="T9" i="179"/>
  <c r="U9" i="179" s="1"/>
  <c r="T8" i="179"/>
  <c r="U8" i="179" s="1"/>
  <c r="T7" i="179"/>
  <c r="U7" i="179" s="1"/>
  <c r="T6" i="179"/>
  <c r="T5" i="179"/>
  <c r="U5" i="179" s="1"/>
  <c r="Z4" i="179"/>
  <c r="Y4" i="179"/>
  <c r="Q4" i="179"/>
  <c r="P4" i="179"/>
  <c r="B1" i="179"/>
  <c r="Y115" i="178"/>
  <c r="K115" i="178"/>
  <c r="K116" i="178" s="1"/>
  <c r="K117" i="178" s="1"/>
  <c r="Y93" i="178"/>
  <c r="T93" i="178"/>
  <c r="Q93" i="178"/>
  <c r="Y71" i="178"/>
  <c r="T71" i="178"/>
  <c r="Q71" i="178"/>
  <c r="Y49" i="178"/>
  <c r="T49" i="178"/>
  <c r="Q49" i="178"/>
  <c r="G49" i="178"/>
  <c r="G71" i="178" s="1"/>
  <c r="G93" i="178" s="1"/>
  <c r="F49" i="178"/>
  <c r="F71" i="178" s="1"/>
  <c r="F93" i="178" s="1"/>
  <c r="C49" i="178"/>
  <c r="C71" i="178" s="1"/>
  <c r="C93" i="178" s="1"/>
  <c r="Y27" i="178"/>
  <c r="G27" i="178"/>
  <c r="F27" i="178"/>
  <c r="E27" i="178"/>
  <c r="E49" i="178" s="1"/>
  <c r="E71" i="178" s="1"/>
  <c r="E93" i="178" s="1"/>
  <c r="D27" i="178"/>
  <c r="D49" i="178" s="1"/>
  <c r="D71" i="178" s="1"/>
  <c r="D93" i="178" s="1"/>
  <c r="C27" i="178"/>
  <c r="B27" i="178"/>
  <c r="B49" i="178" s="1"/>
  <c r="B71" i="178" s="1"/>
  <c r="B93" i="178" s="1"/>
  <c r="T9" i="178"/>
  <c r="U9" i="178" s="1"/>
  <c r="T8" i="178"/>
  <c r="U8" i="178" s="1"/>
  <c r="U7" i="178"/>
  <c r="T7" i="178"/>
  <c r="U6" i="178"/>
  <c r="U5" i="178"/>
  <c r="T5" i="178"/>
  <c r="Z4" i="178"/>
  <c r="Y4" i="178"/>
  <c r="Q4" i="178"/>
  <c r="P4" i="178"/>
  <c r="B1" i="178"/>
  <c r="K117" i="177"/>
  <c r="K116" i="177"/>
  <c r="K115" i="177"/>
  <c r="Y93" i="177"/>
  <c r="T93" i="177"/>
  <c r="Q93" i="177"/>
  <c r="F93" i="177"/>
  <c r="Y71" i="177"/>
  <c r="Y115" i="177" s="1"/>
  <c r="T71" i="177"/>
  <c r="Q71" i="177"/>
  <c r="G71" i="177"/>
  <c r="G93" i="177" s="1"/>
  <c r="B71" i="177"/>
  <c r="B93" i="177" s="1"/>
  <c r="Y49" i="177"/>
  <c r="T49" i="177"/>
  <c r="Q49" i="177"/>
  <c r="F49" i="177"/>
  <c r="F71" i="177" s="1"/>
  <c r="C49" i="177"/>
  <c r="C71" i="177" s="1"/>
  <c r="C93" i="177" s="1"/>
  <c r="Y27" i="177"/>
  <c r="G27" i="177"/>
  <c r="G49" i="177" s="1"/>
  <c r="F27" i="177"/>
  <c r="E27" i="177"/>
  <c r="E49" i="177" s="1"/>
  <c r="E71" i="177" s="1"/>
  <c r="E93" i="177" s="1"/>
  <c r="D27" i="177"/>
  <c r="D49" i="177" s="1"/>
  <c r="D71" i="177" s="1"/>
  <c r="D93" i="177" s="1"/>
  <c r="C27" i="177"/>
  <c r="B27" i="177"/>
  <c r="B49" i="177" s="1"/>
  <c r="U9" i="177"/>
  <c r="T9" i="177"/>
  <c r="U8" i="177"/>
  <c r="T8" i="177"/>
  <c r="U7" i="177"/>
  <c r="T7" i="177"/>
  <c r="T6" i="177"/>
  <c r="U6" i="177" s="1"/>
  <c r="U5" i="177"/>
  <c r="T5" i="177"/>
  <c r="Z4" i="177"/>
  <c r="Y4" i="177"/>
  <c r="T4" i="177"/>
  <c r="Q4" i="177"/>
  <c r="P4" i="177"/>
  <c r="B1" i="177"/>
  <c r="K115" i="176"/>
  <c r="K116" i="176" s="1"/>
  <c r="K117" i="176" s="1"/>
  <c r="Y93" i="176"/>
  <c r="Y115" i="176" s="1"/>
  <c r="T93" i="176"/>
  <c r="Q93" i="176"/>
  <c r="G93" i="176"/>
  <c r="B93" i="176"/>
  <c r="Y71" i="176"/>
  <c r="T71" i="176"/>
  <c r="Q71" i="176"/>
  <c r="C71" i="176"/>
  <c r="C93" i="176" s="1"/>
  <c r="Y49" i="176"/>
  <c r="T49" i="176"/>
  <c r="Q49" i="176"/>
  <c r="F49" i="176"/>
  <c r="F71" i="176" s="1"/>
  <c r="F93" i="176" s="1"/>
  <c r="D49" i="176"/>
  <c r="D71" i="176" s="1"/>
  <c r="D93" i="176" s="1"/>
  <c r="Y27" i="176"/>
  <c r="G27" i="176"/>
  <c r="G49" i="176" s="1"/>
  <c r="G71" i="176" s="1"/>
  <c r="F27" i="176"/>
  <c r="E27" i="176"/>
  <c r="E49" i="176" s="1"/>
  <c r="E71" i="176" s="1"/>
  <c r="E93" i="176" s="1"/>
  <c r="D27" i="176"/>
  <c r="C27" i="176"/>
  <c r="C49" i="176" s="1"/>
  <c r="B27" i="176"/>
  <c r="B49" i="176" s="1"/>
  <c r="B71" i="176" s="1"/>
  <c r="T16" i="176"/>
  <c r="U16" i="176" s="1"/>
  <c r="U15" i="176"/>
  <c r="T15" i="176"/>
  <c r="U14" i="176"/>
  <c r="T14" i="176"/>
  <c r="U13" i="176"/>
  <c r="T13" i="176"/>
  <c r="T12" i="176"/>
  <c r="U12" i="176" s="1"/>
  <c r="U11" i="176"/>
  <c r="T11" i="176"/>
  <c r="U10" i="176"/>
  <c r="T10" i="176"/>
  <c r="U9" i="176"/>
  <c r="T9" i="176"/>
  <c r="T8" i="176"/>
  <c r="U7" i="176"/>
  <c r="T7" i="176"/>
  <c r="U6" i="176"/>
  <c r="T6" i="176"/>
  <c r="U5" i="176"/>
  <c r="T5" i="176"/>
  <c r="Y4" i="176"/>
  <c r="Z4" i="176" s="1"/>
  <c r="Q4" i="176"/>
  <c r="P4" i="176"/>
  <c r="B1" i="176"/>
  <c r="K117" i="175"/>
  <c r="K115" i="175"/>
  <c r="K116" i="175" s="1"/>
  <c r="Y93" i="175"/>
  <c r="Y115" i="175" s="1"/>
  <c r="T93" i="175"/>
  <c r="Q93" i="175"/>
  <c r="F93" i="175"/>
  <c r="Y71" i="175"/>
  <c r="T71" i="175"/>
  <c r="Q71" i="175"/>
  <c r="G71" i="175"/>
  <c r="G93" i="175" s="1"/>
  <c r="Y49" i="175"/>
  <c r="T49" i="175"/>
  <c r="Q49" i="175"/>
  <c r="E49" i="175"/>
  <c r="E71" i="175" s="1"/>
  <c r="E93" i="175" s="1"/>
  <c r="B49" i="175"/>
  <c r="B71" i="175" s="1"/>
  <c r="B93" i="175" s="1"/>
  <c r="Y27" i="175"/>
  <c r="G27" i="175"/>
  <c r="G49" i="175" s="1"/>
  <c r="F27" i="175"/>
  <c r="F49" i="175" s="1"/>
  <c r="F71" i="175" s="1"/>
  <c r="E27" i="175"/>
  <c r="D27" i="175"/>
  <c r="D49" i="175" s="1"/>
  <c r="D71" i="175" s="1"/>
  <c r="D93" i="175" s="1"/>
  <c r="C27" i="175"/>
  <c r="C49" i="175" s="1"/>
  <c r="C71" i="175" s="1"/>
  <c r="C93" i="175" s="1"/>
  <c r="B27" i="175"/>
  <c r="U7" i="175"/>
  <c r="T7" i="175"/>
  <c r="U6" i="175"/>
  <c r="T6" i="175"/>
  <c r="T5" i="175"/>
  <c r="U5" i="175" s="1"/>
  <c r="Z4" i="175"/>
  <c r="Y4" i="175"/>
  <c r="T4" i="175"/>
  <c r="Q4" i="175"/>
  <c r="P4" i="175"/>
  <c r="B1" i="175"/>
  <c r="K57" i="174"/>
  <c r="K58" i="174" s="1"/>
  <c r="K56" i="174"/>
  <c r="U43" i="174"/>
  <c r="T43" i="174"/>
  <c r="U42" i="174"/>
  <c r="T42" i="174"/>
  <c r="T41" i="174"/>
  <c r="U41" i="174" s="1"/>
  <c r="U40" i="174"/>
  <c r="T40" i="174"/>
  <c r="U39" i="174"/>
  <c r="T39" i="174"/>
  <c r="U38" i="174"/>
  <c r="T38" i="174"/>
  <c r="T37" i="174"/>
  <c r="U37" i="174" s="1"/>
  <c r="U36" i="174"/>
  <c r="T36" i="174"/>
  <c r="U35" i="174"/>
  <c r="T35" i="174"/>
  <c r="Z34" i="174"/>
  <c r="Y34" i="174"/>
  <c r="Q34" i="174"/>
  <c r="P34" i="174"/>
  <c r="D34" i="174"/>
  <c r="U33" i="174"/>
  <c r="T33" i="174"/>
  <c r="T32" i="174"/>
  <c r="U32" i="174" s="1"/>
  <c r="T31" i="174"/>
  <c r="U31" i="174" s="1"/>
  <c r="U30" i="174"/>
  <c r="T30" i="174"/>
  <c r="U29" i="174"/>
  <c r="T29" i="174"/>
  <c r="T28" i="174"/>
  <c r="U28" i="174" s="1"/>
  <c r="T27" i="174"/>
  <c r="U27" i="174" s="1"/>
  <c r="U26" i="174"/>
  <c r="T26" i="174"/>
  <c r="U25" i="174"/>
  <c r="T25" i="174"/>
  <c r="Y24" i="174"/>
  <c r="Q24" i="174"/>
  <c r="P24" i="174"/>
  <c r="U23" i="174"/>
  <c r="T23" i="174"/>
  <c r="T22" i="174"/>
  <c r="U22" i="174" s="1"/>
  <c r="U21" i="174"/>
  <c r="T21" i="174"/>
  <c r="U20" i="174"/>
  <c r="T20" i="174"/>
  <c r="U19" i="174"/>
  <c r="T19" i="174"/>
  <c r="T18" i="174"/>
  <c r="U17" i="174"/>
  <c r="T17" i="174"/>
  <c r="U16" i="174"/>
  <c r="T16" i="174"/>
  <c r="U15" i="174"/>
  <c r="T15" i="174"/>
  <c r="Y14" i="174"/>
  <c r="Z14" i="174" s="1"/>
  <c r="Q14" i="174"/>
  <c r="P14" i="174"/>
  <c r="F14" i="174"/>
  <c r="F24" i="174" s="1"/>
  <c r="F34" i="174" s="1"/>
  <c r="C14" i="174"/>
  <c r="C24" i="174" s="1"/>
  <c r="C34" i="174" s="1"/>
  <c r="T13" i="174"/>
  <c r="U13" i="174" s="1"/>
  <c r="T12" i="174"/>
  <c r="U12" i="174" s="1"/>
  <c r="Z11" i="174"/>
  <c r="Y11" i="174"/>
  <c r="T11" i="174"/>
  <c r="Q11" i="174"/>
  <c r="P11" i="174"/>
  <c r="G11" i="174"/>
  <c r="G14" i="174" s="1"/>
  <c r="G24" i="174" s="1"/>
  <c r="G34" i="174" s="1"/>
  <c r="F11" i="174"/>
  <c r="E11" i="174"/>
  <c r="E14" i="174" s="1"/>
  <c r="E24" i="174" s="1"/>
  <c r="E34" i="174" s="1"/>
  <c r="D11" i="174"/>
  <c r="D14" i="174" s="1"/>
  <c r="D24" i="174" s="1"/>
  <c r="C11" i="174"/>
  <c r="B11" i="174"/>
  <c r="B14" i="174" s="1"/>
  <c r="B24" i="174" s="1"/>
  <c r="B34" i="174" s="1"/>
  <c r="U10" i="174"/>
  <c r="T10" i="174"/>
  <c r="U9" i="174"/>
  <c r="T9" i="174"/>
  <c r="U8" i="174"/>
  <c r="T8" i="174"/>
  <c r="T7" i="174"/>
  <c r="U7" i="174" s="1"/>
  <c r="Y6" i="174"/>
  <c r="T6" i="174"/>
  <c r="Y5" i="174"/>
  <c r="U5" i="174"/>
  <c r="T5" i="174"/>
  <c r="Y4" i="174"/>
  <c r="Z4" i="174" s="1"/>
  <c r="Q4" i="174"/>
  <c r="P4" i="174"/>
  <c r="B1" i="174"/>
  <c r="R114" i="173"/>
  <c r="K114" i="173"/>
  <c r="K115" i="173" s="1"/>
  <c r="Y92" i="173"/>
  <c r="Y114" i="173" s="1"/>
  <c r="T92" i="173"/>
  <c r="Q92" i="173"/>
  <c r="C92" i="173"/>
  <c r="Y70" i="173"/>
  <c r="T70" i="173"/>
  <c r="Q70" i="173"/>
  <c r="G70" i="173"/>
  <c r="G92" i="173" s="1"/>
  <c r="D70" i="173"/>
  <c r="D92" i="173" s="1"/>
  <c r="S50" i="173"/>
  <c r="S49" i="173"/>
  <c r="T49" i="173" s="1"/>
  <c r="Y48" i="173"/>
  <c r="Q48" i="173"/>
  <c r="G48" i="173"/>
  <c r="F48" i="173"/>
  <c r="F70" i="173" s="1"/>
  <c r="F92" i="173" s="1"/>
  <c r="E48" i="173"/>
  <c r="E70" i="173" s="1"/>
  <c r="E92" i="173" s="1"/>
  <c r="D48" i="173"/>
  <c r="C48" i="173"/>
  <c r="C70" i="173" s="1"/>
  <c r="B48" i="173"/>
  <c r="B70" i="173" s="1"/>
  <c r="B92" i="173" s="1"/>
  <c r="T31" i="173"/>
  <c r="U31" i="173" s="1"/>
  <c r="T30" i="173"/>
  <c r="U30" i="173" s="1"/>
  <c r="T29" i="173"/>
  <c r="U29" i="173" s="1"/>
  <c r="Y28" i="173"/>
  <c r="U28" i="173"/>
  <c r="T28" i="173"/>
  <c r="Y27" i="173"/>
  <c r="T27" i="173"/>
  <c r="U27" i="173" s="1"/>
  <c r="T16" i="173"/>
  <c r="U16" i="173" s="1"/>
  <c r="U15" i="173"/>
  <c r="T15" i="173"/>
  <c r="T14" i="173"/>
  <c r="U14" i="173" s="1"/>
  <c r="U13" i="173"/>
  <c r="U11" i="173"/>
  <c r="T11" i="173"/>
  <c r="T10" i="173"/>
  <c r="U10" i="173" s="1"/>
  <c r="U9" i="173"/>
  <c r="T9" i="173"/>
  <c r="U8" i="173"/>
  <c r="T8" i="173"/>
  <c r="U7" i="173"/>
  <c r="T7" i="173"/>
  <c r="T6" i="173"/>
  <c r="U6" i="173" s="1"/>
  <c r="Y5" i="173"/>
  <c r="T5" i="173"/>
  <c r="AD4" i="173"/>
  <c r="Z4" i="173"/>
  <c r="Y4" i="173"/>
  <c r="Q4" i="173"/>
  <c r="P4" i="173"/>
  <c r="B1" i="173"/>
  <c r="K115" i="172"/>
  <c r="R114" i="172"/>
  <c r="K114" i="172"/>
  <c r="Y92" i="172"/>
  <c r="T92" i="172"/>
  <c r="Q92" i="172"/>
  <c r="F92" i="172"/>
  <c r="Y70" i="172"/>
  <c r="Y114" i="172" s="1"/>
  <c r="T70" i="172"/>
  <c r="Q70" i="172"/>
  <c r="G70" i="172"/>
  <c r="G92" i="172" s="1"/>
  <c r="E70" i="172"/>
  <c r="E92" i="172" s="1"/>
  <c r="B70" i="172"/>
  <c r="B92" i="172" s="1"/>
  <c r="S50" i="172"/>
  <c r="T50" i="172" s="1"/>
  <c r="U50" i="172" s="1"/>
  <c r="T49" i="172"/>
  <c r="U49" i="172" s="1"/>
  <c r="S49" i="172"/>
  <c r="Y48" i="172"/>
  <c r="Q48" i="172"/>
  <c r="G48" i="172"/>
  <c r="F48" i="172"/>
  <c r="F70" i="172" s="1"/>
  <c r="E48" i="172"/>
  <c r="D48" i="172"/>
  <c r="D70" i="172" s="1"/>
  <c r="D92" i="172" s="1"/>
  <c r="C48" i="172"/>
  <c r="C70" i="172" s="1"/>
  <c r="C92" i="172" s="1"/>
  <c r="B48" i="172"/>
  <c r="U15" i="172"/>
  <c r="T15" i="172"/>
  <c r="T14" i="172"/>
  <c r="U14" i="172" s="1"/>
  <c r="T13" i="172"/>
  <c r="U13" i="172" s="1"/>
  <c r="T12" i="172"/>
  <c r="U12" i="172" s="1"/>
  <c r="U11" i="172"/>
  <c r="T11" i="172"/>
  <c r="T10" i="172"/>
  <c r="U10" i="172" s="1"/>
  <c r="T9" i="172"/>
  <c r="U9" i="172" s="1"/>
  <c r="T8" i="172"/>
  <c r="U8" i="172" s="1"/>
  <c r="U7" i="172"/>
  <c r="T7" i="172"/>
  <c r="T6" i="172"/>
  <c r="Y5" i="172"/>
  <c r="U5" i="172"/>
  <c r="T5" i="172"/>
  <c r="AD4" i="172"/>
  <c r="Z4" i="172"/>
  <c r="Y4" i="172"/>
  <c r="Q4" i="172"/>
  <c r="P4" i="172"/>
  <c r="B1" i="172"/>
  <c r="R114" i="171"/>
  <c r="K114" i="171"/>
  <c r="K115" i="171" s="1"/>
  <c r="Q92" i="171"/>
  <c r="G92" i="171"/>
  <c r="E92" i="171"/>
  <c r="C92" i="171"/>
  <c r="B92" i="171"/>
  <c r="Q70" i="171"/>
  <c r="G70" i="171"/>
  <c r="F70" i="171"/>
  <c r="F92" i="171" s="1"/>
  <c r="E70" i="171"/>
  <c r="D70" i="171"/>
  <c r="D92" i="171" s="1"/>
  <c r="C70" i="171"/>
  <c r="B70" i="171"/>
  <c r="U50" i="171"/>
  <c r="T50" i="171"/>
  <c r="T49" i="171"/>
  <c r="U49" i="171" s="1"/>
  <c r="Q48" i="171"/>
  <c r="U28" i="171"/>
  <c r="T28" i="171"/>
  <c r="Y27" i="171"/>
  <c r="U27" i="171"/>
  <c r="T27" i="171"/>
  <c r="T26" i="171" s="1"/>
  <c r="Y26" i="171"/>
  <c r="Q26" i="171"/>
  <c r="P26" i="171"/>
  <c r="T19" i="171"/>
  <c r="U19" i="171" s="1"/>
  <c r="U17" i="171"/>
  <c r="T17" i="171"/>
  <c r="U15" i="171"/>
  <c r="T15" i="171"/>
  <c r="U14" i="171"/>
  <c r="T14" i="171"/>
  <c r="T13" i="171"/>
  <c r="U13" i="171" s="1"/>
  <c r="U12" i="171"/>
  <c r="T12" i="171"/>
  <c r="U11" i="171"/>
  <c r="T11" i="171"/>
  <c r="U10" i="171"/>
  <c r="T10" i="171"/>
  <c r="T9" i="171"/>
  <c r="U8" i="171"/>
  <c r="T8" i="171"/>
  <c r="U7" i="171"/>
  <c r="T7" i="171"/>
  <c r="U6" i="171"/>
  <c r="T6" i="171"/>
  <c r="Y5" i="171"/>
  <c r="U5" i="171"/>
  <c r="T5" i="171"/>
  <c r="AD4" i="171"/>
  <c r="Z4" i="171"/>
  <c r="Y4" i="171"/>
  <c r="Q4" i="171"/>
  <c r="P4" i="171"/>
  <c r="B1" i="171"/>
  <c r="K115" i="170"/>
  <c r="R114" i="170"/>
  <c r="K114" i="170"/>
  <c r="Y92" i="170"/>
  <c r="T92" i="170"/>
  <c r="Q92" i="170"/>
  <c r="G92" i="170"/>
  <c r="B92" i="170"/>
  <c r="Y70" i="170"/>
  <c r="T70" i="170"/>
  <c r="Q70" i="170"/>
  <c r="E70" i="170"/>
  <c r="E92" i="170" s="1"/>
  <c r="C70" i="170"/>
  <c r="C92" i="170" s="1"/>
  <c r="T50" i="170"/>
  <c r="U50" i="170" s="1"/>
  <c r="S50" i="170"/>
  <c r="T49" i="170"/>
  <c r="S49" i="170"/>
  <c r="Y48" i="170"/>
  <c r="Q48" i="170"/>
  <c r="G48" i="170"/>
  <c r="G70" i="170" s="1"/>
  <c r="F48" i="170"/>
  <c r="F70" i="170" s="1"/>
  <c r="F92" i="170" s="1"/>
  <c r="E48" i="170"/>
  <c r="D48" i="170"/>
  <c r="D70" i="170" s="1"/>
  <c r="D92" i="170" s="1"/>
  <c r="C48" i="170"/>
  <c r="B48" i="170"/>
  <c r="B70" i="170" s="1"/>
  <c r="T17" i="170"/>
  <c r="U17" i="170" s="1"/>
  <c r="U16" i="170"/>
  <c r="T16" i="170"/>
  <c r="T15" i="170"/>
  <c r="U15" i="170" s="1"/>
  <c r="T14" i="170"/>
  <c r="U14" i="170" s="1"/>
  <c r="T13" i="170"/>
  <c r="U13" i="170" s="1"/>
  <c r="U12" i="170"/>
  <c r="T12" i="170"/>
  <c r="T11" i="170"/>
  <c r="U11" i="170" s="1"/>
  <c r="T10" i="170"/>
  <c r="U10" i="170" s="1"/>
  <c r="T9" i="170"/>
  <c r="U9" i="170" s="1"/>
  <c r="U8" i="170"/>
  <c r="T8" i="170"/>
  <c r="T7" i="170"/>
  <c r="U7" i="170" s="1"/>
  <c r="T6" i="170"/>
  <c r="U6" i="170" s="1"/>
  <c r="Y5" i="170"/>
  <c r="T5" i="170"/>
  <c r="AD4" i="170"/>
  <c r="Y4" i="170"/>
  <c r="Z4" i="170" s="1"/>
  <c r="Q4" i="170"/>
  <c r="P4" i="170"/>
  <c r="B1" i="170"/>
  <c r="R114" i="169"/>
  <c r="K114" i="169"/>
  <c r="K115" i="169" s="1"/>
  <c r="Y92" i="169"/>
  <c r="T92" i="169"/>
  <c r="Q92" i="169"/>
  <c r="F92" i="169"/>
  <c r="Y70" i="169"/>
  <c r="Y114" i="169" s="1"/>
  <c r="T70" i="169"/>
  <c r="Q70" i="169"/>
  <c r="G70" i="169"/>
  <c r="G92" i="169" s="1"/>
  <c r="D70" i="169"/>
  <c r="D92" i="169" s="1"/>
  <c r="B70" i="169"/>
  <c r="B92" i="169" s="1"/>
  <c r="S50" i="169"/>
  <c r="S49" i="169"/>
  <c r="T49" i="169" s="1"/>
  <c r="Y48" i="169"/>
  <c r="Q48" i="169"/>
  <c r="G48" i="169"/>
  <c r="F48" i="169"/>
  <c r="F70" i="169" s="1"/>
  <c r="E48" i="169"/>
  <c r="E70" i="169" s="1"/>
  <c r="E92" i="169" s="1"/>
  <c r="D48" i="169"/>
  <c r="C48" i="169"/>
  <c r="C70" i="169" s="1"/>
  <c r="C92" i="169" s="1"/>
  <c r="B48" i="169"/>
  <c r="U16" i="169"/>
  <c r="T16" i="169"/>
  <c r="T15" i="169"/>
  <c r="U15" i="169" s="1"/>
  <c r="U14" i="169"/>
  <c r="T14" i="169"/>
  <c r="U13" i="169"/>
  <c r="T13" i="169"/>
  <c r="U12" i="169"/>
  <c r="T12" i="169"/>
  <c r="T11" i="169"/>
  <c r="U11" i="169" s="1"/>
  <c r="U10" i="169"/>
  <c r="T10" i="169"/>
  <c r="U9" i="169"/>
  <c r="T9" i="169"/>
  <c r="U7" i="169"/>
  <c r="T7" i="169"/>
  <c r="T6" i="169"/>
  <c r="U6" i="169" s="1"/>
  <c r="Y5" i="169"/>
  <c r="T5" i="169"/>
  <c r="AD4" i="169"/>
  <c r="Z4" i="169"/>
  <c r="Y4" i="169"/>
  <c r="Q4" i="169"/>
  <c r="P4" i="169"/>
  <c r="B1" i="169"/>
  <c r="K115" i="168"/>
  <c r="R114" i="168"/>
  <c r="K114" i="168"/>
  <c r="Q92" i="168"/>
  <c r="G92" i="168"/>
  <c r="D92" i="168"/>
  <c r="B92" i="168"/>
  <c r="Q70" i="168"/>
  <c r="G70" i="168"/>
  <c r="F70" i="168"/>
  <c r="F92" i="168" s="1"/>
  <c r="E70" i="168"/>
  <c r="E92" i="168" s="1"/>
  <c r="D70" i="168"/>
  <c r="C70" i="168"/>
  <c r="C92" i="168" s="1"/>
  <c r="B70" i="168"/>
  <c r="U50" i="168"/>
  <c r="T50" i="168"/>
  <c r="T49" i="168"/>
  <c r="U49" i="168" s="1"/>
  <c r="Q48" i="168"/>
  <c r="T37" i="168"/>
  <c r="U37" i="168" s="1"/>
  <c r="T36" i="168"/>
  <c r="U36" i="168" s="1"/>
  <c r="U35" i="168"/>
  <c r="T35" i="168"/>
  <c r="U34" i="168"/>
  <c r="T34" i="168"/>
  <c r="T33" i="168"/>
  <c r="U33" i="168" s="1"/>
  <c r="T32" i="168"/>
  <c r="U32" i="168" s="1"/>
  <c r="U31" i="168"/>
  <c r="T31" i="168"/>
  <c r="U30" i="168"/>
  <c r="T30" i="168"/>
  <c r="T29" i="168"/>
  <c r="U29" i="168" s="1"/>
  <c r="T28" i="168"/>
  <c r="U28" i="168" s="1"/>
  <c r="Y27" i="168"/>
  <c r="T27" i="168"/>
  <c r="U27" i="168" s="1"/>
  <c r="Z26" i="168"/>
  <c r="Y26" i="168"/>
  <c r="Y114" i="168" s="1"/>
  <c r="Q26" i="168"/>
  <c r="P26" i="168"/>
  <c r="U19" i="168"/>
  <c r="T19" i="168"/>
  <c r="U17" i="168"/>
  <c r="T17" i="168"/>
  <c r="Q17" i="168"/>
  <c r="T16" i="168"/>
  <c r="Q16" i="168"/>
  <c r="U16" i="168" s="1"/>
  <c r="T15" i="168"/>
  <c r="Q15" i="168"/>
  <c r="U15" i="168" s="1"/>
  <c r="T14" i="168"/>
  <c r="Q14" i="168"/>
  <c r="U14" i="168" s="1"/>
  <c r="T13" i="168"/>
  <c r="U13" i="168" s="1"/>
  <c r="Q13" i="168"/>
  <c r="T12" i="168"/>
  <c r="U12" i="168" s="1"/>
  <c r="Q12" i="168"/>
  <c r="T11" i="168"/>
  <c r="U11" i="168" s="1"/>
  <c r="Q11" i="168"/>
  <c r="U10" i="168"/>
  <c r="T10" i="168"/>
  <c r="Q10" i="168"/>
  <c r="U9" i="168"/>
  <c r="T9" i="168"/>
  <c r="Q9" i="168"/>
  <c r="U8" i="168"/>
  <c r="T8" i="168"/>
  <c r="Q8" i="168"/>
  <c r="T7" i="168"/>
  <c r="Q7" i="168"/>
  <c r="U7" i="168" s="1"/>
  <c r="U6" i="168"/>
  <c r="T6" i="168"/>
  <c r="Q6" i="168"/>
  <c r="Y5" i="168"/>
  <c r="U5" i="168"/>
  <c r="T5" i="168"/>
  <c r="Q5" i="168"/>
  <c r="AD4" i="168"/>
  <c r="Z4" i="168"/>
  <c r="Y4" i="168"/>
  <c r="P4" i="168"/>
  <c r="B1" i="168"/>
  <c r="R114" i="167"/>
  <c r="K114" i="167"/>
  <c r="K115" i="167" s="1"/>
  <c r="Q92" i="167"/>
  <c r="Y70" i="167"/>
  <c r="Q70" i="167"/>
  <c r="U59" i="167"/>
  <c r="T59" i="167"/>
  <c r="T58" i="167"/>
  <c r="U58" i="167" s="1"/>
  <c r="T38" i="167"/>
  <c r="U38" i="167" s="1"/>
  <c r="T37" i="167"/>
  <c r="U37" i="167" s="1"/>
  <c r="U36" i="167"/>
  <c r="T36" i="167"/>
  <c r="U35" i="167"/>
  <c r="T35" i="167"/>
  <c r="T34" i="167"/>
  <c r="U34" i="167" s="1"/>
  <c r="T33" i="167"/>
  <c r="U33" i="167" s="1"/>
  <c r="U32" i="167"/>
  <c r="T32" i="167"/>
  <c r="U31" i="167"/>
  <c r="T31" i="167"/>
  <c r="U30" i="167"/>
  <c r="T30" i="167"/>
  <c r="T29" i="167"/>
  <c r="U29" i="167" s="1"/>
  <c r="T28" i="167"/>
  <c r="U28" i="167" s="1"/>
  <c r="Y27" i="167"/>
  <c r="U27" i="167"/>
  <c r="T27" i="167"/>
  <c r="AD26" i="167"/>
  <c r="Z26" i="167"/>
  <c r="Y26" i="167"/>
  <c r="Y114" i="167" s="1"/>
  <c r="Q26" i="167"/>
  <c r="P26" i="167"/>
  <c r="U10" i="167"/>
  <c r="T10" i="167"/>
  <c r="T9" i="167"/>
  <c r="U9" i="167" s="1"/>
  <c r="U8" i="167"/>
  <c r="T8" i="167"/>
  <c r="T7" i="167"/>
  <c r="U7" i="167" s="1"/>
  <c r="T6" i="167"/>
  <c r="U6" i="167" s="1"/>
  <c r="Y5" i="167"/>
  <c r="T5" i="167"/>
  <c r="AD4" i="167"/>
  <c r="Y4" i="167"/>
  <c r="Z4" i="167" s="1"/>
  <c r="Q4" i="167"/>
  <c r="P4" i="167"/>
  <c r="B1" i="167"/>
  <c r="R114" i="166"/>
  <c r="K114" i="166"/>
  <c r="K115" i="166" s="1"/>
  <c r="Y92" i="166"/>
  <c r="T92" i="166"/>
  <c r="Q92" i="166"/>
  <c r="F92" i="166"/>
  <c r="Y70" i="166"/>
  <c r="T70" i="166"/>
  <c r="Q70" i="166"/>
  <c r="E70" i="166"/>
  <c r="E92" i="166" s="1"/>
  <c r="B70" i="166"/>
  <c r="B92" i="166" s="1"/>
  <c r="S50" i="166"/>
  <c r="S49" i="166"/>
  <c r="T49" i="166" s="1"/>
  <c r="Y48" i="166"/>
  <c r="Q48" i="166"/>
  <c r="G48" i="166"/>
  <c r="G70" i="166" s="1"/>
  <c r="G92" i="166" s="1"/>
  <c r="F48" i="166"/>
  <c r="F70" i="166" s="1"/>
  <c r="E48" i="166"/>
  <c r="D48" i="166"/>
  <c r="D70" i="166" s="1"/>
  <c r="D92" i="166" s="1"/>
  <c r="C48" i="166"/>
  <c r="C70" i="166" s="1"/>
  <c r="C92" i="166" s="1"/>
  <c r="B48" i="166"/>
  <c r="T31" i="166"/>
  <c r="U31" i="166" s="1"/>
  <c r="U30" i="166"/>
  <c r="T30" i="166"/>
  <c r="U29" i="166"/>
  <c r="T29" i="166"/>
  <c r="Y28" i="166"/>
  <c r="U28" i="166"/>
  <c r="T28" i="166"/>
  <c r="Y27" i="166"/>
  <c r="U27" i="166"/>
  <c r="T27" i="166"/>
  <c r="U16" i="166"/>
  <c r="T16" i="166"/>
  <c r="U15" i="166"/>
  <c r="T15" i="166"/>
  <c r="T14" i="166"/>
  <c r="U14" i="166" s="1"/>
  <c r="U13" i="166"/>
  <c r="T13" i="166"/>
  <c r="U12" i="166"/>
  <c r="T12" i="166"/>
  <c r="U11" i="166"/>
  <c r="T11" i="166"/>
  <c r="T10" i="166"/>
  <c r="U10" i="166" s="1"/>
  <c r="U9" i="166"/>
  <c r="T9" i="166"/>
  <c r="U8" i="166"/>
  <c r="T8" i="166"/>
  <c r="U7" i="166"/>
  <c r="T7" i="166"/>
  <c r="T6" i="166"/>
  <c r="U6" i="166" s="1"/>
  <c r="Y5" i="166"/>
  <c r="T5" i="166"/>
  <c r="U5" i="166" s="1"/>
  <c r="AD4" i="166"/>
  <c r="Z4" i="166"/>
  <c r="Y4" i="166"/>
  <c r="Q4" i="166"/>
  <c r="P4" i="166"/>
  <c r="B1" i="166"/>
  <c r="K115" i="165"/>
  <c r="R114" i="165"/>
  <c r="K114" i="165"/>
  <c r="Y92" i="165"/>
  <c r="T92" i="165"/>
  <c r="Q92" i="165"/>
  <c r="Y70" i="165"/>
  <c r="Y114" i="165" s="1"/>
  <c r="T70" i="165"/>
  <c r="Q70" i="165"/>
  <c r="G70" i="165"/>
  <c r="G92" i="165" s="1"/>
  <c r="E70" i="165"/>
  <c r="E92" i="165" s="1"/>
  <c r="B70" i="165"/>
  <c r="B92" i="165" s="1"/>
  <c r="S50" i="165"/>
  <c r="T50" i="165" s="1"/>
  <c r="U50" i="165" s="1"/>
  <c r="T49" i="165"/>
  <c r="U49" i="165" s="1"/>
  <c r="S49" i="165"/>
  <c r="Y48" i="165"/>
  <c r="T48" i="165"/>
  <c r="Q48" i="165"/>
  <c r="G48" i="165"/>
  <c r="F48" i="165"/>
  <c r="F70" i="165" s="1"/>
  <c r="F92" i="165" s="1"/>
  <c r="E48" i="165"/>
  <c r="D48" i="165"/>
  <c r="D70" i="165" s="1"/>
  <c r="D92" i="165" s="1"/>
  <c r="C48" i="165"/>
  <c r="C70" i="165" s="1"/>
  <c r="C92" i="165" s="1"/>
  <c r="B48" i="165"/>
  <c r="U8" i="165"/>
  <c r="T8" i="165"/>
  <c r="T7" i="165"/>
  <c r="U7" i="165" s="1"/>
  <c r="T6" i="165"/>
  <c r="U6" i="165" s="1"/>
  <c r="Y5" i="165"/>
  <c r="T5" i="165"/>
  <c r="AD4" i="165"/>
  <c r="Y4" i="165"/>
  <c r="Z4" i="165" s="1"/>
  <c r="Q4" i="165"/>
  <c r="P4" i="165"/>
  <c r="B1" i="165"/>
  <c r="K115" i="164"/>
  <c r="R114" i="164"/>
  <c r="K114" i="164"/>
  <c r="Q92" i="164"/>
  <c r="Y70" i="164"/>
  <c r="Q70" i="164"/>
  <c r="T59" i="164"/>
  <c r="U59" i="164" s="1"/>
  <c r="U58" i="164"/>
  <c r="T58" i="164"/>
  <c r="U38" i="164"/>
  <c r="T38" i="164"/>
  <c r="U36" i="164"/>
  <c r="T36" i="164"/>
  <c r="T35" i="164"/>
  <c r="U35" i="164" s="1"/>
  <c r="U34" i="164"/>
  <c r="T34" i="164"/>
  <c r="U33" i="164"/>
  <c r="T33" i="164"/>
  <c r="U32" i="164"/>
  <c r="T32" i="164"/>
  <c r="T31" i="164"/>
  <c r="U31" i="164" s="1"/>
  <c r="U30" i="164"/>
  <c r="T30" i="164"/>
  <c r="U29" i="164"/>
  <c r="T29" i="164"/>
  <c r="U28" i="164"/>
  <c r="T28" i="164"/>
  <c r="Y27" i="164"/>
  <c r="U27" i="164"/>
  <c r="T27" i="164"/>
  <c r="T26" i="164" s="1"/>
  <c r="Y26" i="164"/>
  <c r="Z26" i="164" s="1"/>
  <c r="Q26" i="164"/>
  <c r="P26" i="164"/>
  <c r="T15" i="164"/>
  <c r="U15" i="164" s="1"/>
  <c r="U14" i="164"/>
  <c r="T14" i="164"/>
  <c r="U13" i="164"/>
  <c r="T13" i="164"/>
  <c r="U12" i="164"/>
  <c r="T12" i="164"/>
  <c r="T11" i="164"/>
  <c r="U11" i="164" s="1"/>
  <c r="U10" i="164"/>
  <c r="T10" i="164"/>
  <c r="U9" i="164"/>
  <c r="T9" i="164"/>
  <c r="U8" i="164"/>
  <c r="T8" i="164"/>
  <c r="T7" i="164"/>
  <c r="U7" i="164" s="1"/>
  <c r="U6" i="164"/>
  <c r="T6" i="164"/>
  <c r="Y5" i="164"/>
  <c r="T5" i="164"/>
  <c r="AD4" i="164"/>
  <c r="Y4" i="164"/>
  <c r="Z4" i="164" s="1"/>
  <c r="Q4" i="164"/>
  <c r="P4" i="164"/>
  <c r="B1" i="164"/>
  <c r="R114" i="163"/>
  <c r="K114" i="163"/>
  <c r="K115" i="163" s="1"/>
  <c r="Q92" i="163"/>
  <c r="F92" i="163"/>
  <c r="D92" i="163"/>
  <c r="Q70" i="163"/>
  <c r="G70" i="163"/>
  <c r="G92" i="163" s="1"/>
  <c r="F70" i="163"/>
  <c r="E70" i="163"/>
  <c r="E92" i="163" s="1"/>
  <c r="D70" i="163"/>
  <c r="C70" i="163"/>
  <c r="C92" i="163" s="1"/>
  <c r="B70" i="163"/>
  <c r="B92" i="163" s="1"/>
  <c r="T50" i="163"/>
  <c r="U50" i="163" s="1"/>
  <c r="U49" i="163"/>
  <c r="T49" i="163"/>
  <c r="Q48" i="163"/>
  <c r="Y28" i="163"/>
  <c r="Y27" i="163"/>
  <c r="Z26" i="163"/>
  <c r="T26" i="163"/>
  <c r="Q26" i="163"/>
  <c r="P26" i="163"/>
  <c r="T17" i="163"/>
  <c r="U17" i="163" s="1"/>
  <c r="S17" i="163"/>
  <c r="U16" i="163"/>
  <c r="T16" i="163"/>
  <c r="S16" i="163"/>
  <c r="S15" i="163"/>
  <c r="S14" i="163"/>
  <c r="S13" i="163"/>
  <c r="T13" i="163" s="1"/>
  <c r="U13" i="163" s="1"/>
  <c r="S12" i="163"/>
  <c r="T12" i="163" s="1"/>
  <c r="U12" i="163" s="1"/>
  <c r="T11" i="163"/>
  <c r="U11" i="163" s="1"/>
  <c r="S11" i="163"/>
  <c r="T10" i="163"/>
  <c r="U10" i="163" s="1"/>
  <c r="S10" i="163"/>
  <c r="T9" i="163"/>
  <c r="U9" i="163" s="1"/>
  <c r="S9" i="163"/>
  <c r="U8" i="163"/>
  <c r="T8" i="163"/>
  <c r="S8" i="163"/>
  <c r="S7" i="163"/>
  <c r="Y6" i="163"/>
  <c r="S6" i="163"/>
  <c r="Y5" i="163"/>
  <c r="T5" i="163"/>
  <c r="AD4" i="163"/>
  <c r="Y4" i="163"/>
  <c r="Z4" i="163" s="1"/>
  <c r="Q4" i="163"/>
  <c r="P4" i="163"/>
  <c r="B1" i="163"/>
  <c r="K115" i="162"/>
  <c r="R114" i="162"/>
  <c r="K114" i="162"/>
  <c r="Y92" i="162"/>
  <c r="T92" i="162"/>
  <c r="Q92" i="162"/>
  <c r="Y70" i="162"/>
  <c r="T70" i="162"/>
  <c r="Q70" i="162"/>
  <c r="G70" i="162"/>
  <c r="G92" i="162" s="1"/>
  <c r="D70" i="162"/>
  <c r="D92" i="162" s="1"/>
  <c r="B70" i="162"/>
  <c r="B92" i="162" s="1"/>
  <c r="S50" i="162"/>
  <c r="T50" i="162" s="1"/>
  <c r="S49" i="162"/>
  <c r="T49" i="162" s="1"/>
  <c r="U49" i="162" s="1"/>
  <c r="Y48" i="162"/>
  <c r="Q48" i="162"/>
  <c r="G48" i="162"/>
  <c r="F48" i="162"/>
  <c r="F70" i="162" s="1"/>
  <c r="F92" i="162" s="1"/>
  <c r="E48" i="162"/>
  <c r="E70" i="162" s="1"/>
  <c r="E92" i="162" s="1"/>
  <c r="D48" i="162"/>
  <c r="C48" i="162"/>
  <c r="C70" i="162" s="1"/>
  <c r="C92" i="162" s="1"/>
  <c r="B48" i="162"/>
  <c r="U31" i="162"/>
  <c r="T31" i="162"/>
  <c r="T30" i="162"/>
  <c r="U30" i="162" s="1"/>
  <c r="U29" i="162"/>
  <c r="T29" i="162"/>
  <c r="Y28" i="162"/>
  <c r="T28" i="162"/>
  <c r="U28" i="162" s="1"/>
  <c r="Y27" i="162"/>
  <c r="T27" i="162"/>
  <c r="U27" i="162" s="1"/>
  <c r="U16" i="162"/>
  <c r="T16" i="162"/>
  <c r="U15" i="162"/>
  <c r="T15" i="162"/>
  <c r="U14" i="162"/>
  <c r="T14" i="162"/>
  <c r="T13" i="162"/>
  <c r="U13" i="162" s="1"/>
  <c r="U12" i="162"/>
  <c r="T12" i="162"/>
  <c r="U11" i="162"/>
  <c r="T11" i="162"/>
  <c r="U10" i="162"/>
  <c r="T10" i="162"/>
  <c r="T9" i="162"/>
  <c r="U9" i="162" s="1"/>
  <c r="U8" i="162"/>
  <c r="T8" i="162"/>
  <c r="U7" i="162"/>
  <c r="T7" i="162"/>
  <c r="U6" i="162"/>
  <c r="T6" i="162"/>
  <c r="Y5" i="162"/>
  <c r="U5" i="162"/>
  <c r="T5" i="162"/>
  <c r="AD4" i="162"/>
  <c r="Z4" i="162"/>
  <c r="Y4" i="162"/>
  <c r="Q4" i="162"/>
  <c r="P4" i="162"/>
  <c r="B1" i="162"/>
  <c r="R114" i="161"/>
  <c r="K114" i="161"/>
  <c r="K115" i="161" s="1"/>
  <c r="Q92" i="161"/>
  <c r="E92" i="161"/>
  <c r="B92" i="161"/>
  <c r="Q70" i="161"/>
  <c r="G70" i="161"/>
  <c r="G92" i="161" s="1"/>
  <c r="F70" i="161"/>
  <c r="F92" i="161" s="1"/>
  <c r="E70" i="161"/>
  <c r="D70" i="161"/>
  <c r="D92" i="161" s="1"/>
  <c r="C70" i="161"/>
  <c r="C92" i="161" s="1"/>
  <c r="B70" i="161"/>
  <c r="U50" i="161"/>
  <c r="T50" i="161"/>
  <c r="U49" i="161"/>
  <c r="T49" i="161"/>
  <c r="Q48" i="161"/>
  <c r="U38" i="161"/>
  <c r="T38" i="161"/>
  <c r="T37" i="161"/>
  <c r="U37" i="161" s="1"/>
  <c r="T36" i="161"/>
  <c r="U36" i="161" s="1"/>
  <c r="U35" i="161"/>
  <c r="T35" i="161"/>
  <c r="U34" i="161"/>
  <c r="T34" i="161"/>
  <c r="T33" i="161"/>
  <c r="U33" i="161" s="1"/>
  <c r="T32" i="161"/>
  <c r="U32" i="161" s="1"/>
  <c r="U31" i="161"/>
  <c r="T31" i="161"/>
  <c r="U30" i="161"/>
  <c r="T30" i="161"/>
  <c r="T29" i="161"/>
  <c r="U29" i="161" s="1"/>
  <c r="Y28" i="161"/>
  <c r="U28" i="161"/>
  <c r="T28" i="161"/>
  <c r="Y27" i="161"/>
  <c r="U27" i="161"/>
  <c r="T27" i="161"/>
  <c r="S27" i="161"/>
  <c r="Z26" i="161"/>
  <c r="Y26" i="161"/>
  <c r="Y114" i="161" s="1"/>
  <c r="T26" i="161"/>
  <c r="Q26" i="161"/>
  <c r="P26" i="161"/>
  <c r="U19" i="161"/>
  <c r="T19" i="161"/>
  <c r="T18" i="161"/>
  <c r="U18" i="161" s="1"/>
  <c r="T17" i="161"/>
  <c r="U17" i="161" s="1"/>
  <c r="U16" i="161"/>
  <c r="T16" i="161"/>
  <c r="U15" i="161"/>
  <c r="T15" i="161"/>
  <c r="T14" i="161"/>
  <c r="U14" i="161" s="1"/>
  <c r="T13" i="161"/>
  <c r="U13" i="161" s="1"/>
  <c r="U12" i="161"/>
  <c r="T12" i="161"/>
  <c r="U11" i="161"/>
  <c r="T11" i="161"/>
  <c r="T10" i="161"/>
  <c r="U10" i="161" s="1"/>
  <c r="T9" i="161"/>
  <c r="U9" i="161" s="1"/>
  <c r="U8" i="161"/>
  <c r="T8" i="161"/>
  <c r="U7" i="161"/>
  <c r="T7" i="161"/>
  <c r="Y5" i="161"/>
  <c r="U5" i="161"/>
  <c r="T5" i="161"/>
  <c r="AD4" i="161"/>
  <c r="Z4" i="161"/>
  <c r="Y4" i="161"/>
  <c r="T4" i="161"/>
  <c r="Q4" i="161"/>
  <c r="P4" i="161"/>
  <c r="B1" i="161"/>
  <c r="K115" i="160"/>
  <c r="R114" i="160"/>
  <c r="K114" i="160"/>
  <c r="Y92" i="160"/>
  <c r="Y114" i="160" s="1"/>
  <c r="T92" i="160"/>
  <c r="Q92" i="160"/>
  <c r="Y70" i="160"/>
  <c r="T70" i="160"/>
  <c r="Q70" i="160"/>
  <c r="F70" i="160"/>
  <c r="F92" i="160" s="1"/>
  <c r="C70" i="160"/>
  <c r="C92" i="160" s="1"/>
  <c r="T50" i="160"/>
  <c r="U50" i="160" s="1"/>
  <c r="S50" i="160"/>
  <c r="U49" i="160"/>
  <c r="T49" i="160"/>
  <c r="T48" i="160" s="1"/>
  <c r="S49" i="160"/>
  <c r="Y48" i="160"/>
  <c r="Q48" i="160"/>
  <c r="G48" i="160"/>
  <c r="G70" i="160" s="1"/>
  <c r="G92" i="160" s="1"/>
  <c r="F48" i="160"/>
  <c r="E48" i="160"/>
  <c r="E70" i="160" s="1"/>
  <c r="E92" i="160" s="1"/>
  <c r="D48" i="160"/>
  <c r="D70" i="160" s="1"/>
  <c r="D92" i="160" s="1"/>
  <c r="C48" i="160"/>
  <c r="B48" i="160"/>
  <c r="B70" i="160" s="1"/>
  <c r="B92" i="160" s="1"/>
  <c r="U16" i="160"/>
  <c r="T16" i="160"/>
  <c r="U15" i="160"/>
  <c r="T15" i="160"/>
  <c r="U14" i="160"/>
  <c r="T14" i="160"/>
  <c r="T13" i="160"/>
  <c r="U13" i="160" s="1"/>
  <c r="U12" i="160"/>
  <c r="T12" i="160"/>
  <c r="U11" i="160"/>
  <c r="T11" i="160"/>
  <c r="U10" i="160"/>
  <c r="T10" i="160"/>
  <c r="T9" i="160"/>
  <c r="U8" i="160"/>
  <c r="T8" i="160"/>
  <c r="U7" i="160"/>
  <c r="T7" i="160"/>
  <c r="U6" i="160"/>
  <c r="T6" i="160"/>
  <c r="Y5" i="160"/>
  <c r="U5" i="160"/>
  <c r="T5" i="160"/>
  <c r="AD4" i="160"/>
  <c r="Z4" i="160"/>
  <c r="Q4" i="160"/>
  <c r="P4" i="160"/>
  <c r="B1" i="160"/>
  <c r="K115" i="159"/>
  <c r="R114" i="159"/>
  <c r="K114" i="159"/>
  <c r="Q92" i="159"/>
  <c r="Y70" i="159"/>
  <c r="Y114" i="159" s="1"/>
  <c r="Q70" i="159"/>
  <c r="T59" i="159"/>
  <c r="U59" i="159" s="1"/>
  <c r="U58" i="159"/>
  <c r="T58" i="159"/>
  <c r="T56" i="159"/>
  <c r="Q56" i="159"/>
  <c r="U56" i="159" s="1"/>
  <c r="U55" i="159"/>
  <c r="T55" i="159"/>
  <c r="U54" i="159"/>
  <c r="T54" i="159"/>
  <c r="T53" i="159"/>
  <c r="U53" i="159" s="1"/>
  <c r="T52" i="159"/>
  <c r="U52" i="159" s="1"/>
  <c r="U51" i="159"/>
  <c r="T51" i="159"/>
  <c r="U50" i="159"/>
  <c r="T50" i="159"/>
  <c r="Y49" i="159"/>
  <c r="U49" i="159"/>
  <c r="T49" i="159"/>
  <c r="Z48" i="159"/>
  <c r="Y48" i="159"/>
  <c r="Q48" i="159"/>
  <c r="P48" i="159"/>
  <c r="T38" i="159"/>
  <c r="U38" i="159" s="1"/>
  <c r="T37" i="159"/>
  <c r="U37" i="159" s="1"/>
  <c r="U36" i="159"/>
  <c r="T36" i="159"/>
  <c r="U34" i="159"/>
  <c r="T34" i="159"/>
  <c r="T33" i="159"/>
  <c r="U33" i="159" s="1"/>
  <c r="T32" i="159"/>
  <c r="U32" i="159" s="1"/>
  <c r="U31" i="159"/>
  <c r="T31" i="159"/>
  <c r="U30" i="159"/>
  <c r="T30" i="159"/>
  <c r="T29" i="159"/>
  <c r="U29" i="159" s="1"/>
  <c r="T28" i="159"/>
  <c r="U28" i="159" s="1"/>
  <c r="Y27" i="159"/>
  <c r="T27" i="159"/>
  <c r="Z26" i="159"/>
  <c r="Y26" i="159"/>
  <c r="Q26" i="159"/>
  <c r="P26" i="159"/>
  <c r="U8" i="159"/>
  <c r="T8" i="159"/>
  <c r="U7" i="159"/>
  <c r="T7" i="159"/>
  <c r="T6" i="159"/>
  <c r="U6" i="159" s="1"/>
  <c r="Y5" i="159"/>
  <c r="U5" i="159"/>
  <c r="T5" i="159"/>
  <c r="T4" i="159" s="1"/>
  <c r="AD4" i="159"/>
  <c r="Z4" i="159"/>
  <c r="Y4" i="159"/>
  <c r="Q4" i="159"/>
  <c r="P4" i="159"/>
  <c r="B1" i="159"/>
  <c r="K115" i="158"/>
  <c r="R114" i="158"/>
  <c r="K114" i="158"/>
  <c r="Y92" i="158"/>
  <c r="Y114" i="158" s="1"/>
  <c r="T92" i="158"/>
  <c r="Q92" i="158"/>
  <c r="D92" i="158"/>
  <c r="Y70" i="158"/>
  <c r="T70" i="158"/>
  <c r="Q70" i="158"/>
  <c r="E70" i="158"/>
  <c r="E92" i="158" s="1"/>
  <c r="B70" i="158"/>
  <c r="B92" i="158" s="1"/>
  <c r="T50" i="158"/>
  <c r="U50" i="158" s="1"/>
  <c r="S50" i="158"/>
  <c r="T49" i="158"/>
  <c r="S49" i="158"/>
  <c r="Y48" i="158"/>
  <c r="Q48" i="158"/>
  <c r="G48" i="158"/>
  <c r="G70" i="158" s="1"/>
  <c r="G92" i="158" s="1"/>
  <c r="F48" i="158"/>
  <c r="F70" i="158" s="1"/>
  <c r="F92" i="158" s="1"/>
  <c r="E48" i="158"/>
  <c r="D48" i="158"/>
  <c r="D70" i="158" s="1"/>
  <c r="C48" i="158"/>
  <c r="C70" i="158" s="1"/>
  <c r="C92" i="158" s="1"/>
  <c r="B48" i="158"/>
  <c r="U31" i="158"/>
  <c r="T31" i="158"/>
  <c r="U30" i="158"/>
  <c r="T30" i="158"/>
  <c r="T29" i="158"/>
  <c r="U29" i="158" s="1"/>
  <c r="Y28" i="158"/>
  <c r="T28" i="158"/>
  <c r="U28" i="158" s="1"/>
  <c r="Y27" i="158"/>
  <c r="U27" i="158"/>
  <c r="T27" i="158"/>
  <c r="T6" i="158"/>
  <c r="U6" i="158" s="1"/>
  <c r="Y5" i="158"/>
  <c r="T5" i="158"/>
  <c r="U5" i="158" s="1"/>
  <c r="AD4" i="158"/>
  <c r="Z4" i="158"/>
  <c r="Y4" i="158"/>
  <c r="Q4" i="158"/>
  <c r="P4" i="158"/>
  <c r="B1" i="158"/>
  <c r="K115" i="157"/>
  <c r="R114" i="157"/>
  <c r="K114" i="157"/>
  <c r="Y92" i="157"/>
  <c r="T92" i="157"/>
  <c r="Q92" i="157"/>
  <c r="F92" i="157"/>
  <c r="D92" i="157"/>
  <c r="C92" i="157"/>
  <c r="Y70" i="157"/>
  <c r="T70" i="157"/>
  <c r="Q70" i="157"/>
  <c r="G70" i="157"/>
  <c r="G92" i="157" s="1"/>
  <c r="F70" i="157"/>
  <c r="E70" i="157"/>
  <c r="E92" i="157" s="1"/>
  <c r="D70" i="157"/>
  <c r="C70" i="157"/>
  <c r="B70" i="157"/>
  <c r="B92" i="157" s="1"/>
  <c r="U50" i="157"/>
  <c r="U49" i="157"/>
  <c r="Y48" i="157"/>
  <c r="T48" i="157"/>
  <c r="Q48" i="157"/>
  <c r="U36" i="157"/>
  <c r="T36" i="157"/>
  <c r="U35" i="157"/>
  <c r="T35" i="157"/>
  <c r="T34" i="157"/>
  <c r="U34" i="157" s="1"/>
  <c r="T33" i="157"/>
  <c r="U33" i="157" s="1"/>
  <c r="U32" i="157"/>
  <c r="T32" i="157"/>
  <c r="U31" i="157"/>
  <c r="T31" i="157"/>
  <c r="T30" i="157"/>
  <c r="U30" i="157" s="1"/>
  <c r="T29" i="157"/>
  <c r="U29" i="157" s="1"/>
  <c r="Y28" i="157"/>
  <c r="T28" i="157"/>
  <c r="U28" i="157" s="1"/>
  <c r="Y27" i="157"/>
  <c r="T27" i="157"/>
  <c r="U27" i="157" s="1"/>
  <c r="Y26" i="157"/>
  <c r="Z26" i="157" s="1"/>
  <c r="Q26" i="157"/>
  <c r="P26" i="157"/>
  <c r="U14" i="157"/>
  <c r="T14" i="157"/>
  <c r="U13" i="157"/>
  <c r="T13" i="157"/>
  <c r="U12" i="157"/>
  <c r="T12" i="157"/>
  <c r="T11" i="157"/>
  <c r="U11" i="157" s="1"/>
  <c r="U10" i="157"/>
  <c r="T10" i="157"/>
  <c r="U9" i="157"/>
  <c r="T9" i="157"/>
  <c r="U8" i="157"/>
  <c r="T8" i="157"/>
  <c r="T7" i="157"/>
  <c r="U7" i="157" s="1"/>
  <c r="U6" i="157"/>
  <c r="T6" i="157"/>
  <c r="Y5" i="157"/>
  <c r="T5" i="157"/>
  <c r="AD4" i="157"/>
  <c r="Y4" i="157"/>
  <c r="Z4" i="157" s="1"/>
  <c r="Q4" i="157"/>
  <c r="P4" i="157"/>
  <c r="B1" i="157"/>
  <c r="R114" i="156"/>
  <c r="K114" i="156"/>
  <c r="K115" i="156" s="1"/>
  <c r="Y92" i="156"/>
  <c r="T92" i="156"/>
  <c r="Q92" i="156"/>
  <c r="C92" i="156"/>
  <c r="Y70" i="156"/>
  <c r="T70" i="156"/>
  <c r="Q70" i="156"/>
  <c r="G70" i="156"/>
  <c r="G92" i="156" s="1"/>
  <c r="D70" i="156"/>
  <c r="D92" i="156" s="1"/>
  <c r="S50" i="156"/>
  <c r="S49" i="156"/>
  <c r="T49" i="156" s="1"/>
  <c r="Y48" i="156"/>
  <c r="Q48" i="156"/>
  <c r="G48" i="156"/>
  <c r="F48" i="156"/>
  <c r="F70" i="156" s="1"/>
  <c r="F92" i="156" s="1"/>
  <c r="E48" i="156"/>
  <c r="E70" i="156" s="1"/>
  <c r="E92" i="156" s="1"/>
  <c r="D48" i="156"/>
  <c r="C48" i="156"/>
  <c r="C70" i="156" s="1"/>
  <c r="B48" i="156"/>
  <c r="B70" i="156" s="1"/>
  <c r="B92" i="156" s="1"/>
  <c r="T31" i="156"/>
  <c r="U31" i="156" s="1"/>
  <c r="T30" i="156"/>
  <c r="U30" i="156" s="1"/>
  <c r="U29" i="156"/>
  <c r="T29" i="156"/>
  <c r="Y28" i="156"/>
  <c r="U28" i="156"/>
  <c r="T28" i="156"/>
  <c r="Y27" i="156"/>
  <c r="T27" i="156"/>
  <c r="U27" i="156" s="1"/>
  <c r="U14" i="156"/>
  <c r="T14" i="156"/>
  <c r="U13" i="156"/>
  <c r="T13" i="156"/>
  <c r="T12" i="156"/>
  <c r="U12" i="156" s="1"/>
  <c r="T11" i="156"/>
  <c r="U11" i="156" s="1"/>
  <c r="U10" i="156"/>
  <c r="T10" i="156"/>
  <c r="U9" i="156"/>
  <c r="T9" i="156"/>
  <c r="T8" i="156"/>
  <c r="U8" i="156" s="1"/>
  <c r="T7" i="156"/>
  <c r="U6" i="156"/>
  <c r="T6" i="156"/>
  <c r="Y5" i="156"/>
  <c r="U5" i="156"/>
  <c r="T5" i="156"/>
  <c r="AD4" i="156"/>
  <c r="Y4" i="156"/>
  <c r="Q4" i="156"/>
  <c r="P4" i="156"/>
  <c r="B1" i="156"/>
  <c r="Y114" i="155"/>
  <c r="R114" i="155"/>
  <c r="K114" i="155"/>
  <c r="K115" i="155" s="1"/>
  <c r="Y92" i="155"/>
  <c r="T92" i="155"/>
  <c r="Q92" i="155"/>
  <c r="Y70" i="155"/>
  <c r="T70" i="155"/>
  <c r="Q70" i="155"/>
  <c r="F70" i="155"/>
  <c r="F92" i="155" s="1"/>
  <c r="D70" i="155"/>
  <c r="D92" i="155" s="1"/>
  <c r="S50" i="155"/>
  <c r="S49" i="155"/>
  <c r="Y48" i="155"/>
  <c r="Q48" i="155"/>
  <c r="G48" i="155"/>
  <c r="G70" i="155" s="1"/>
  <c r="G92" i="155" s="1"/>
  <c r="F48" i="155"/>
  <c r="E48" i="155"/>
  <c r="E70" i="155" s="1"/>
  <c r="E92" i="155" s="1"/>
  <c r="D48" i="155"/>
  <c r="C48" i="155"/>
  <c r="C70" i="155" s="1"/>
  <c r="C92" i="155" s="1"/>
  <c r="B48" i="155"/>
  <c r="B70" i="155" s="1"/>
  <c r="B92" i="155" s="1"/>
  <c r="T31" i="155"/>
  <c r="U31" i="155" s="1"/>
  <c r="U30" i="155"/>
  <c r="T30" i="155"/>
  <c r="U29" i="155"/>
  <c r="T29" i="155"/>
  <c r="Y28" i="155"/>
  <c r="U28" i="155"/>
  <c r="T28" i="155"/>
  <c r="Y27" i="155"/>
  <c r="U27" i="155"/>
  <c r="T27" i="155"/>
  <c r="U14" i="155"/>
  <c r="T14" i="155"/>
  <c r="U13" i="155"/>
  <c r="T13" i="155"/>
  <c r="T12" i="155"/>
  <c r="U12" i="155" s="1"/>
  <c r="U11" i="155"/>
  <c r="T11" i="155"/>
  <c r="U10" i="155"/>
  <c r="T10" i="155"/>
  <c r="U9" i="155"/>
  <c r="T9" i="155"/>
  <c r="T8" i="155"/>
  <c r="U7" i="155"/>
  <c r="T7" i="155"/>
  <c r="U6" i="155"/>
  <c r="T6" i="155"/>
  <c r="Y5" i="155"/>
  <c r="U5" i="155"/>
  <c r="T5" i="155"/>
  <c r="AD4" i="155"/>
  <c r="Z4" i="155"/>
  <c r="Y4" i="155"/>
  <c r="Q4" i="155"/>
  <c r="P4" i="155"/>
  <c r="B1" i="155"/>
  <c r="R114" i="154"/>
  <c r="K114" i="154"/>
  <c r="K115" i="154" s="1"/>
  <c r="Y92" i="154"/>
  <c r="T92" i="154"/>
  <c r="Q92" i="154"/>
  <c r="Y70" i="154"/>
  <c r="T70" i="154"/>
  <c r="Q70" i="154"/>
  <c r="F70" i="154"/>
  <c r="F92" i="154" s="1"/>
  <c r="C70" i="154"/>
  <c r="C92" i="154" s="1"/>
  <c r="U50" i="154"/>
  <c r="T50" i="154"/>
  <c r="S50" i="154"/>
  <c r="U49" i="154"/>
  <c r="T49" i="154"/>
  <c r="T48" i="154" s="1"/>
  <c r="S49" i="154"/>
  <c r="Y48" i="154"/>
  <c r="Q48" i="154"/>
  <c r="G48" i="154"/>
  <c r="G70" i="154" s="1"/>
  <c r="G92" i="154" s="1"/>
  <c r="F48" i="154"/>
  <c r="E48" i="154"/>
  <c r="E70" i="154" s="1"/>
  <c r="E92" i="154" s="1"/>
  <c r="D48" i="154"/>
  <c r="D70" i="154" s="1"/>
  <c r="D92" i="154" s="1"/>
  <c r="C48" i="154"/>
  <c r="B48" i="154"/>
  <c r="B70" i="154" s="1"/>
  <c r="B92" i="154" s="1"/>
  <c r="T15" i="154"/>
  <c r="U15" i="154" s="1"/>
  <c r="U14" i="154"/>
  <c r="T14" i="154"/>
  <c r="U13" i="154"/>
  <c r="T13" i="154"/>
  <c r="T12" i="154"/>
  <c r="U12" i="154" s="1"/>
  <c r="T11" i="154"/>
  <c r="U11" i="154" s="1"/>
  <c r="U10" i="154"/>
  <c r="T10" i="154"/>
  <c r="U9" i="154"/>
  <c r="T9" i="154"/>
  <c r="T8" i="154"/>
  <c r="U8" i="154" s="1"/>
  <c r="T7" i="154"/>
  <c r="U6" i="154"/>
  <c r="T6" i="154"/>
  <c r="Y5" i="154"/>
  <c r="U5" i="154"/>
  <c r="T5" i="154"/>
  <c r="AD4" i="154"/>
  <c r="Y4" i="154"/>
  <c r="Z4" i="154" s="1"/>
  <c r="Q4" i="154"/>
  <c r="P4" i="154"/>
  <c r="B1" i="154"/>
  <c r="Y114" i="153"/>
  <c r="R114" i="153"/>
  <c r="K114" i="153"/>
  <c r="K115" i="153" s="1"/>
  <c r="Y92" i="153"/>
  <c r="T92" i="153"/>
  <c r="Q92" i="153"/>
  <c r="Y70" i="153"/>
  <c r="T70" i="153"/>
  <c r="Q70" i="153"/>
  <c r="F70" i="153"/>
  <c r="F92" i="153" s="1"/>
  <c r="D70" i="153"/>
  <c r="D92" i="153" s="1"/>
  <c r="S50" i="153"/>
  <c r="S49" i="153"/>
  <c r="Y48" i="153"/>
  <c r="Q48" i="153"/>
  <c r="G48" i="153"/>
  <c r="G70" i="153" s="1"/>
  <c r="G92" i="153" s="1"/>
  <c r="F48" i="153"/>
  <c r="E48" i="153"/>
  <c r="E70" i="153" s="1"/>
  <c r="E92" i="153" s="1"/>
  <c r="D48" i="153"/>
  <c r="C48" i="153"/>
  <c r="C70" i="153" s="1"/>
  <c r="C92" i="153" s="1"/>
  <c r="B48" i="153"/>
  <c r="B70" i="153" s="1"/>
  <c r="B92" i="153" s="1"/>
  <c r="T31" i="153"/>
  <c r="U31" i="153" s="1"/>
  <c r="U30" i="153"/>
  <c r="T30" i="153"/>
  <c r="U29" i="153"/>
  <c r="T29" i="153"/>
  <c r="Y28" i="153"/>
  <c r="U28" i="153"/>
  <c r="T28" i="153"/>
  <c r="Y27" i="153"/>
  <c r="U27" i="153"/>
  <c r="T27" i="153"/>
  <c r="U7" i="153"/>
  <c r="T7" i="153"/>
  <c r="U6" i="153"/>
  <c r="T6" i="153"/>
  <c r="Y5" i="153"/>
  <c r="U5" i="153"/>
  <c r="T5" i="153"/>
  <c r="AD4" i="153"/>
  <c r="Z4" i="153"/>
  <c r="Y4" i="153"/>
  <c r="T4" i="153"/>
  <c r="Q4" i="153"/>
  <c r="P4" i="153"/>
  <c r="B1" i="153"/>
  <c r="K115" i="152"/>
  <c r="R114" i="152"/>
  <c r="K114" i="152"/>
  <c r="Y92" i="152"/>
  <c r="Y114" i="152" s="1"/>
  <c r="T92" i="152"/>
  <c r="Q92" i="152"/>
  <c r="Y70" i="152"/>
  <c r="T70" i="152"/>
  <c r="Q70" i="152"/>
  <c r="E70" i="152"/>
  <c r="E92" i="152" s="1"/>
  <c r="C70" i="152"/>
  <c r="C92" i="152" s="1"/>
  <c r="T50" i="152"/>
  <c r="U50" i="152" s="1"/>
  <c r="S50" i="152"/>
  <c r="T49" i="152"/>
  <c r="U49" i="152" s="1"/>
  <c r="S49" i="152"/>
  <c r="Y48" i="152"/>
  <c r="Q48" i="152"/>
  <c r="G48" i="152"/>
  <c r="G70" i="152" s="1"/>
  <c r="G92" i="152" s="1"/>
  <c r="F48" i="152"/>
  <c r="F70" i="152" s="1"/>
  <c r="F92" i="152" s="1"/>
  <c r="E48" i="152"/>
  <c r="D48" i="152"/>
  <c r="D70" i="152" s="1"/>
  <c r="D92" i="152" s="1"/>
  <c r="C48" i="152"/>
  <c r="B48" i="152"/>
  <c r="B70" i="152" s="1"/>
  <c r="B92" i="152" s="1"/>
  <c r="U31" i="152"/>
  <c r="T31" i="152"/>
  <c r="U30" i="152"/>
  <c r="T30" i="152"/>
  <c r="T29" i="152"/>
  <c r="U29" i="152" s="1"/>
  <c r="Y28" i="152"/>
  <c r="U28" i="152"/>
  <c r="T28" i="152"/>
  <c r="Y27" i="152"/>
  <c r="U27" i="152"/>
  <c r="T27" i="152"/>
  <c r="T9" i="152"/>
  <c r="U9" i="152" s="1"/>
  <c r="T8" i="152"/>
  <c r="U8" i="152" s="1"/>
  <c r="U7" i="152"/>
  <c r="T7" i="152"/>
  <c r="U6" i="152"/>
  <c r="T6" i="152"/>
  <c r="Y5" i="152"/>
  <c r="U5" i="152"/>
  <c r="T5" i="152"/>
  <c r="AD4" i="152"/>
  <c r="Z4" i="152"/>
  <c r="Y4" i="152"/>
  <c r="T4" i="152"/>
  <c r="Q4" i="152"/>
  <c r="P4" i="152"/>
  <c r="B1" i="152"/>
  <c r="K115" i="150"/>
  <c r="Y114" i="150"/>
  <c r="R114" i="150"/>
  <c r="K114" i="150"/>
  <c r="Q92" i="150"/>
  <c r="E92" i="150"/>
  <c r="C92" i="150"/>
  <c r="Q70" i="150"/>
  <c r="G70" i="150"/>
  <c r="G92" i="150" s="1"/>
  <c r="F70" i="150"/>
  <c r="F92" i="150" s="1"/>
  <c r="E70" i="150"/>
  <c r="D70" i="150"/>
  <c r="D92" i="150" s="1"/>
  <c r="C70" i="150"/>
  <c r="B70" i="150"/>
  <c r="B92" i="150" s="1"/>
  <c r="U50" i="150"/>
  <c r="T50" i="150"/>
  <c r="U49" i="150"/>
  <c r="T49" i="150"/>
  <c r="Q48" i="150"/>
  <c r="U33" i="150"/>
  <c r="T33" i="150"/>
  <c r="U32" i="150"/>
  <c r="T32" i="150"/>
  <c r="T31" i="150"/>
  <c r="U31" i="150" s="1"/>
  <c r="U30" i="150"/>
  <c r="T30" i="150"/>
  <c r="U29" i="150"/>
  <c r="T29" i="150"/>
  <c r="Y28" i="150"/>
  <c r="U28" i="150"/>
  <c r="T28" i="150"/>
  <c r="Y27" i="150"/>
  <c r="U27" i="150"/>
  <c r="T27" i="150"/>
  <c r="Z26" i="150"/>
  <c r="Y26" i="150"/>
  <c r="T26" i="150"/>
  <c r="Q26" i="150"/>
  <c r="P26" i="150"/>
  <c r="U19" i="150"/>
  <c r="T19" i="150"/>
  <c r="T18" i="150"/>
  <c r="U18" i="150" s="1"/>
  <c r="T16" i="150"/>
  <c r="U16" i="150" s="1"/>
  <c r="U15" i="150"/>
  <c r="T15" i="150"/>
  <c r="U14" i="150"/>
  <c r="T14" i="150"/>
  <c r="T13" i="150"/>
  <c r="U13" i="150" s="1"/>
  <c r="T12" i="150"/>
  <c r="U12" i="150" s="1"/>
  <c r="U11" i="150"/>
  <c r="T11" i="150"/>
  <c r="U10" i="150"/>
  <c r="T10" i="150"/>
  <c r="T9" i="150"/>
  <c r="U9" i="150" s="1"/>
  <c r="T8" i="150"/>
  <c r="U8" i="150" s="1"/>
  <c r="U7" i="150"/>
  <c r="T7" i="150"/>
  <c r="U6" i="150"/>
  <c r="T6" i="150"/>
  <c r="Y5" i="150"/>
  <c r="U5" i="150"/>
  <c r="T5" i="150"/>
  <c r="AD4" i="150"/>
  <c r="Z4" i="150"/>
  <c r="Y4" i="150"/>
  <c r="T4" i="150"/>
  <c r="Q4" i="150"/>
  <c r="P4" i="150"/>
  <c r="B1" i="150"/>
  <c r="K115" i="149"/>
  <c r="R114" i="149"/>
  <c r="K114" i="149"/>
  <c r="Y92" i="149"/>
  <c r="Y114" i="149" s="1"/>
  <c r="T92" i="149"/>
  <c r="Q92" i="149"/>
  <c r="E92" i="149"/>
  <c r="Y70" i="149"/>
  <c r="T70" i="149"/>
  <c r="Q70" i="149"/>
  <c r="F70" i="149"/>
  <c r="F92" i="149" s="1"/>
  <c r="C70" i="149"/>
  <c r="C92" i="149" s="1"/>
  <c r="T50" i="149"/>
  <c r="U50" i="149" s="1"/>
  <c r="S50" i="149"/>
  <c r="U49" i="149"/>
  <c r="T49" i="149"/>
  <c r="T48" i="149" s="1"/>
  <c r="S49" i="149"/>
  <c r="Y48" i="149"/>
  <c r="Q48" i="149"/>
  <c r="G48" i="149"/>
  <c r="G70" i="149" s="1"/>
  <c r="G92" i="149" s="1"/>
  <c r="F48" i="149"/>
  <c r="E48" i="149"/>
  <c r="E70" i="149" s="1"/>
  <c r="D48" i="149"/>
  <c r="D70" i="149" s="1"/>
  <c r="D92" i="149" s="1"/>
  <c r="C48" i="149"/>
  <c r="B48" i="149"/>
  <c r="B70" i="149" s="1"/>
  <c r="B92" i="149" s="1"/>
  <c r="U31" i="149"/>
  <c r="T31" i="149"/>
  <c r="U30" i="149"/>
  <c r="T30" i="149"/>
  <c r="U29" i="149"/>
  <c r="T29" i="149"/>
  <c r="Y28" i="149"/>
  <c r="U28" i="149"/>
  <c r="T28" i="149"/>
  <c r="Y27" i="149"/>
  <c r="U27" i="149"/>
  <c r="T27" i="149"/>
  <c r="U18" i="149"/>
  <c r="T18" i="149"/>
  <c r="T17" i="149"/>
  <c r="U17" i="149" s="1"/>
  <c r="U16" i="149"/>
  <c r="T16" i="149"/>
  <c r="U15" i="149"/>
  <c r="T15" i="149"/>
  <c r="U14" i="149"/>
  <c r="T14" i="149"/>
  <c r="T13" i="149"/>
  <c r="U13" i="149" s="1"/>
  <c r="U12" i="149"/>
  <c r="T12" i="149"/>
  <c r="U11" i="149"/>
  <c r="T11" i="149"/>
  <c r="U10" i="149"/>
  <c r="T10" i="149"/>
  <c r="T9" i="149"/>
  <c r="U8" i="149"/>
  <c r="T8" i="149"/>
  <c r="U7" i="149"/>
  <c r="T7" i="149"/>
  <c r="U6" i="149"/>
  <c r="T6" i="149"/>
  <c r="Y5" i="149"/>
  <c r="U5" i="149"/>
  <c r="T5" i="149"/>
  <c r="AD4" i="149"/>
  <c r="Z4" i="149"/>
  <c r="Y4" i="149"/>
  <c r="Q4" i="149"/>
  <c r="P4" i="149"/>
  <c r="B1" i="149"/>
  <c r="R114" i="148"/>
  <c r="K114" i="148"/>
  <c r="K115" i="148" s="1"/>
  <c r="Y92" i="148"/>
  <c r="Y114" i="148" s="1"/>
  <c r="T92" i="148"/>
  <c r="Q92" i="148"/>
  <c r="Y70" i="148"/>
  <c r="T70" i="148"/>
  <c r="Q70" i="148"/>
  <c r="E70" i="148"/>
  <c r="E92" i="148" s="1"/>
  <c r="C70" i="148"/>
  <c r="C92" i="148" s="1"/>
  <c r="T50" i="148"/>
  <c r="U50" i="148" s="1"/>
  <c r="S50" i="148"/>
  <c r="T49" i="148"/>
  <c r="U49" i="148" s="1"/>
  <c r="S49" i="148"/>
  <c r="Y48" i="148"/>
  <c r="Q48" i="148"/>
  <c r="G48" i="148"/>
  <c r="G70" i="148" s="1"/>
  <c r="G92" i="148" s="1"/>
  <c r="F48" i="148"/>
  <c r="F70" i="148" s="1"/>
  <c r="F92" i="148" s="1"/>
  <c r="E48" i="148"/>
  <c r="D48" i="148"/>
  <c r="D70" i="148" s="1"/>
  <c r="D92" i="148" s="1"/>
  <c r="C48" i="148"/>
  <c r="B48" i="148"/>
  <c r="B70" i="148" s="1"/>
  <c r="B92" i="148" s="1"/>
  <c r="U31" i="148"/>
  <c r="T31" i="148"/>
  <c r="U30" i="148"/>
  <c r="T30" i="148"/>
  <c r="T29" i="148"/>
  <c r="U29" i="148" s="1"/>
  <c r="Y28" i="148"/>
  <c r="U28" i="148"/>
  <c r="T28" i="148"/>
  <c r="Y27" i="148"/>
  <c r="U27" i="148"/>
  <c r="T27" i="148"/>
  <c r="T17" i="148"/>
  <c r="U17" i="148" s="1"/>
  <c r="T16" i="148"/>
  <c r="U16" i="148" s="1"/>
  <c r="U15" i="148"/>
  <c r="T15" i="148"/>
  <c r="U14" i="148"/>
  <c r="T14" i="148"/>
  <c r="T13" i="148"/>
  <c r="U13" i="148" s="1"/>
  <c r="T12" i="148"/>
  <c r="U12" i="148" s="1"/>
  <c r="U11" i="148"/>
  <c r="T11" i="148"/>
  <c r="U10" i="148"/>
  <c r="T10" i="148"/>
  <c r="T9" i="148"/>
  <c r="U9" i="148" s="1"/>
  <c r="T8" i="148"/>
  <c r="U8" i="148" s="1"/>
  <c r="U7" i="148"/>
  <c r="T7" i="148"/>
  <c r="U6" i="148"/>
  <c r="T6" i="148"/>
  <c r="Y5" i="148"/>
  <c r="U5" i="148"/>
  <c r="T5" i="148"/>
  <c r="AD4" i="148"/>
  <c r="Z4" i="148"/>
  <c r="Y4" i="148"/>
  <c r="Q4" i="148"/>
  <c r="P4" i="148"/>
  <c r="B1" i="148"/>
  <c r="K115" i="147"/>
  <c r="R114" i="147"/>
  <c r="K114" i="147"/>
  <c r="Y92" i="147"/>
  <c r="Y114" i="147" s="1"/>
  <c r="T92" i="147"/>
  <c r="Q92" i="147"/>
  <c r="B92" i="147"/>
  <c r="Y70" i="147"/>
  <c r="T70" i="147"/>
  <c r="Q70" i="147"/>
  <c r="F70" i="147"/>
  <c r="F92" i="147" s="1"/>
  <c r="C70" i="147"/>
  <c r="C92" i="147" s="1"/>
  <c r="T50" i="147"/>
  <c r="U50" i="147" s="1"/>
  <c r="S50" i="147"/>
  <c r="U49" i="147"/>
  <c r="T49" i="147"/>
  <c r="T48" i="147" s="1"/>
  <c r="S49" i="147"/>
  <c r="Y48" i="147"/>
  <c r="Q48" i="147"/>
  <c r="G48" i="147"/>
  <c r="G70" i="147" s="1"/>
  <c r="G92" i="147" s="1"/>
  <c r="F48" i="147"/>
  <c r="E48" i="147"/>
  <c r="E70" i="147" s="1"/>
  <c r="E92" i="147" s="1"/>
  <c r="D48" i="147"/>
  <c r="D70" i="147" s="1"/>
  <c r="D92" i="147" s="1"/>
  <c r="C48" i="147"/>
  <c r="B48" i="147"/>
  <c r="B70" i="147" s="1"/>
  <c r="U7" i="147"/>
  <c r="T7" i="147"/>
  <c r="U6" i="147"/>
  <c r="T6" i="147"/>
  <c r="Y5" i="147"/>
  <c r="U5" i="147"/>
  <c r="T5" i="147"/>
  <c r="T4" i="147" s="1"/>
  <c r="AD4" i="147"/>
  <c r="Z4" i="147"/>
  <c r="Q4" i="147"/>
  <c r="P4" i="147"/>
  <c r="B1" i="147"/>
  <c r="K115" i="146"/>
  <c r="R114" i="146"/>
  <c r="K114" i="146"/>
  <c r="Y92" i="146"/>
  <c r="T92" i="146"/>
  <c r="Q92" i="146"/>
  <c r="G92" i="146"/>
  <c r="F92" i="146"/>
  <c r="D92" i="146"/>
  <c r="C92" i="146"/>
  <c r="Y70" i="146"/>
  <c r="Y114" i="146" s="1"/>
  <c r="T70" i="146"/>
  <c r="Q70" i="146"/>
  <c r="G70" i="146"/>
  <c r="F70" i="146"/>
  <c r="E70" i="146"/>
  <c r="E92" i="146" s="1"/>
  <c r="D70" i="146"/>
  <c r="C70" i="146"/>
  <c r="B70" i="146"/>
  <c r="B92" i="146" s="1"/>
  <c r="U50" i="146"/>
  <c r="U49" i="146"/>
  <c r="Y48" i="146"/>
  <c r="T48" i="146"/>
  <c r="Q48" i="146"/>
  <c r="Y28" i="146"/>
  <c r="Y27" i="146"/>
  <c r="U11" i="146"/>
  <c r="T11" i="146"/>
  <c r="U10" i="146"/>
  <c r="T10" i="146"/>
  <c r="T9" i="146"/>
  <c r="U9" i="146" s="1"/>
  <c r="U8" i="146"/>
  <c r="T8" i="146"/>
  <c r="U7" i="146"/>
  <c r="T7" i="146"/>
  <c r="U6" i="146"/>
  <c r="T6" i="146"/>
  <c r="Y5" i="146"/>
  <c r="U5" i="146"/>
  <c r="T5" i="146"/>
  <c r="AD4" i="146"/>
  <c r="Z4" i="146"/>
  <c r="Y4" i="146"/>
  <c r="Q4" i="146"/>
  <c r="P4" i="146"/>
  <c r="B1" i="146"/>
  <c r="K115" i="145"/>
  <c r="R114" i="145"/>
  <c r="K114" i="145"/>
  <c r="Y92" i="145"/>
  <c r="Y114" i="145" s="1"/>
  <c r="T92" i="145"/>
  <c r="Q92" i="145"/>
  <c r="G92" i="145"/>
  <c r="F92" i="145"/>
  <c r="D92" i="145"/>
  <c r="B92" i="145"/>
  <c r="Y70" i="145"/>
  <c r="T70" i="145"/>
  <c r="Q70" i="145"/>
  <c r="G70" i="145"/>
  <c r="F70" i="145"/>
  <c r="E70" i="145"/>
  <c r="E92" i="145" s="1"/>
  <c r="D70" i="145"/>
  <c r="C70" i="145"/>
  <c r="C92" i="145" s="1"/>
  <c r="B70" i="145"/>
  <c r="U50" i="145"/>
  <c r="U49" i="145"/>
  <c r="Y48" i="145"/>
  <c r="T48" i="145"/>
  <c r="Q48" i="145"/>
  <c r="T33" i="145"/>
  <c r="U33" i="145" s="1"/>
  <c r="U32" i="145"/>
  <c r="T32" i="145"/>
  <c r="U31" i="145"/>
  <c r="T31" i="145"/>
  <c r="T30" i="145"/>
  <c r="U30" i="145" s="1"/>
  <c r="T29" i="145"/>
  <c r="U29" i="145" s="1"/>
  <c r="U28" i="145"/>
  <c r="T28" i="145"/>
  <c r="Y27" i="145"/>
  <c r="U27" i="145"/>
  <c r="T27" i="145"/>
  <c r="Z26" i="145"/>
  <c r="Y26" i="145"/>
  <c r="T26" i="145"/>
  <c r="Q26" i="145"/>
  <c r="P26" i="145"/>
  <c r="U11" i="145"/>
  <c r="T11" i="145"/>
  <c r="T10" i="145"/>
  <c r="U10" i="145" s="1"/>
  <c r="T9" i="145"/>
  <c r="U9" i="145" s="1"/>
  <c r="U8" i="145"/>
  <c r="T8" i="145"/>
  <c r="U7" i="145"/>
  <c r="T7" i="145"/>
  <c r="T6" i="145"/>
  <c r="U6" i="145" s="1"/>
  <c r="Y5" i="145"/>
  <c r="U5" i="145"/>
  <c r="T5" i="145"/>
  <c r="T4" i="145" s="1"/>
  <c r="AD4" i="145"/>
  <c r="Z4" i="145"/>
  <c r="Y4" i="145"/>
  <c r="Q4" i="145"/>
  <c r="P4" i="145"/>
  <c r="B1" i="145"/>
  <c r="K115" i="144"/>
  <c r="R114" i="144"/>
  <c r="K114" i="144"/>
  <c r="Y92" i="144"/>
  <c r="Y114" i="144" s="1"/>
  <c r="T92" i="144"/>
  <c r="Q92" i="144"/>
  <c r="Y70" i="144"/>
  <c r="T70" i="144"/>
  <c r="Q70" i="144"/>
  <c r="T50" i="144"/>
  <c r="U50" i="144" s="1"/>
  <c r="S50" i="144"/>
  <c r="T49" i="144"/>
  <c r="S49" i="144"/>
  <c r="Y48" i="144"/>
  <c r="Q48" i="144"/>
  <c r="G48" i="144"/>
  <c r="G70" i="144" s="1"/>
  <c r="G92" i="144" s="1"/>
  <c r="S31" i="144"/>
  <c r="T31" i="144" s="1"/>
  <c r="U31" i="144" s="1"/>
  <c r="S30" i="144"/>
  <c r="T30" i="144" s="1"/>
  <c r="U30" i="144" s="1"/>
  <c r="S29" i="144"/>
  <c r="T29" i="144" s="1"/>
  <c r="U29" i="144" s="1"/>
  <c r="Y28" i="144"/>
  <c r="S28" i="144"/>
  <c r="Y27" i="144"/>
  <c r="S27" i="144"/>
  <c r="T27" i="144" s="1"/>
  <c r="AD26" i="144"/>
  <c r="Z26" i="144"/>
  <c r="Y26" i="144"/>
  <c r="Q26" i="144"/>
  <c r="P26" i="144"/>
  <c r="G26" i="144"/>
  <c r="F26" i="144"/>
  <c r="F48" i="144" s="1"/>
  <c r="F70" i="144" s="1"/>
  <c r="F92" i="144" s="1"/>
  <c r="E26" i="144"/>
  <c r="E48" i="144" s="1"/>
  <c r="E70" i="144" s="1"/>
  <c r="E92" i="144" s="1"/>
  <c r="D26" i="144"/>
  <c r="D48" i="144" s="1"/>
  <c r="D70" i="144" s="1"/>
  <c r="D92" i="144" s="1"/>
  <c r="C26" i="144"/>
  <c r="C48" i="144" s="1"/>
  <c r="C70" i="144" s="1"/>
  <c r="C92" i="144" s="1"/>
  <c r="B26" i="144"/>
  <c r="B48" i="144" s="1"/>
  <c r="B70" i="144" s="1"/>
  <c r="B92" i="144" s="1"/>
  <c r="S9" i="144"/>
  <c r="S8" i="144"/>
  <c r="S7" i="144"/>
  <c r="T7" i="144" s="1"/>
  <c r="U7" i="144" s="1"/>
  <c r="S6" i="144"/>
  <c r="T6" i="144" s="1"/>
  <c r="Y5" i="144"/>
  <c r="U5" i="144"/>
  <c r="T5" i="144"/>
  <c r="S5" i="144"/>
  <c r="AD4" i="144"/>
  <c r="Z4" i="144"/>
  <c r="Y4" i="144"/>
  <c r="Q4" i="144"/>
  <c r="P4" i="144"/>
  <c r="B1" i="144"/>
  <c r="Y114" i="143"/>
  <c r="R114" i="143"/>
  <c r="K114" i="143"/>
  <c r="K115" i="143" s="1"/>
  <c r="Y92" i="143"/>
  <c r="T92" i="143"/>
  <c r="Q92" i="143"/>
  <c r="Y70" i="143"/>
  <c r="T70" i="143"/>
  <c r="Q70" i="143"/>
  <c r="F70" i="143"/>
  <c r="F92" i="143" s="1"/>
  <c r="C70" i="143"/>
  <c r="C92" i="143" s="1"/>
  <c r="U50" i="143"/>
  <c r="T50" i="143"/>
  <c r="T48" i="143" s="1"/>
  <c r="S50" i="143"/>
  <c r="U49" i="143"/>
  <c r="T49" i="143"/>
  <c r="S49" i="143"/>
  <c r="Y48" i="143"/>
  <c r="Q48" i="143"/>
  <c r="G48" i="143"/>
  <c r="G70" i="143" s="1"/>
  <c r="G92" i="143" s="1"/>
  <c r="F48" i="143"/>
  <c r="E48" i="143"/>
  <c r="E70" i="143" s="1"/>
  <c r="E92" i="143" s="1"/>
  <c r="D48" i="143"/>
  <c r="D70" i="143" s="1"/>
  <c r="D92" i="143" s="1"/>
  <c r="C48" i="143"/>
  <c r="B48" i="143"/>
  <c r="B70" i="143" s="1"/>
  <c r="B92" i="143" s="1"/>
  <c r="T31" i="143"/>
  <c r="U31" i="143" s="1"/>
  <c r="U30" i="143"/>
  <c r="T30" i="143"/>
  <c r="U29" i="143"/>
  <c r="T29" i="143"/>
  <c r="Y28" i="143"/>
  <c r="U28" i="143"/>
  <c r="T28" i="143"/>
  <c r="Y27" i="143"/>
  <c r="U27" i="143"/>
  <c r="T27" i="143"/>
  <c r="Y5" i="143"/>
  <c r="S5" i="143"/>
  <c r="T5" i="143" s="1"/>
  <c r="AD4" i="143"/>
  <c r="Z4" i="143"/>
  <c r="Y4" i="143"/>
  <c r="Q4" i="143"/>
  <c r="P4" i="143"/>
  <c r="B1" i="143"/>
  <c r="K115" i="142"/>
  <c r="R114" i="142"/>
  <c r="K114" i="142"/>
  <c r="Y92" i="142"/>
  <c r="T92" i="142"/>
  <c r="Q92" i="142"/>
  <c r="Y70" i="142"/>
  <c r="Y114" i="142" s="1"/>
  <c r="T70" i="142"/>
  <c r="Q70" i="142"/>
  <c r="G70" i="142"/>
  <c r="G92" i="142" s="1"/>
  <c r="E70" i="142"/>
  <c r="E92" i="142" s="1"/>
  <c r="B70" i="142"/>
  <c r="B92" i="142" s="1"/>
  <c r="S50" i="142"/>
  <c r="T50" i="142" s="1"/>
  <c r="U50" i="142" s="1"/>
  <c r="T49" i="142"/>
  <c r="U49" i="142" s="1"/>
  <c r="S49" i="142"/>
  <c r="Y48" i="142"/>
  <c r="T48" i="142"/>
  <c r="Q48" i="142"/>
  <c r="G48" i="142"/>
  <c r="F48" i="142"/>
  <c r="F70" i="142" s="1"/>
  <c r="F92" i="142" s="1"/>
  <c r="E48" i="142"/>
  <c r="D48" i="142"/>
  <c r="D70" i="142" s="1"/>
  <c r="D92" i="142" s="1"/>
  <c r="C48" i="142"/>
  <c r="C70" i="142" s="1"/>
  <c r="C92" i="142" s="1"/>
  <c r="B48" i="142"/>
  <c r="U31" i="142"/>
  <c r="T31" i="142"/>
  <c r="T30" i="142"/>
  <c r="U30" i="142" s="1"/>
  <c r="T29" i="142"/>
  <c r="U29" i="142" s="1"/>
  <c r="Y28" i="142"/>
  <c r="T28" i="142"/>
  <c r="U28" i="142" s="1"/>
  <c r="Y27" i="142"/>
  <c r="T27" i="142"/>
  <c r="U27" i="142" s="1"/>
  <c r="T16" i="142"/>
  <c r="U16" i="142" s="1"/>
  <c r="S16" i="142"/>
  <c r="T15" i="142"/>
  <c r="U15" i="142" s="1"/>
  <c r="S15" i="142"/>
  <c r="T14" i="142"/>
  <c r="U14" i="142" s="1"/>
  <c r="S14" i="142"/>
  <c r="U13" i="142"/>
  <c r="T13" i="142"/>
  <c r="S13" i="142"/>
  <c r="S12" i="142"/>
  <c r="S11" i="142"/>
  <c r="S10" i="142"/>
  <c r="T10" i="142" s="1"/>
  <c r="U10" i="142" s="1"/>
  <c r="S9" i="142"/>
  <c r="T9" i="142" s="1"/>
  <c r="U9" i="142" s="1"/>
  <c r="T8" i="142"/>
  <c r="U8" i="142" s="1"/>
  <c r="S8" i="142"/>
  <c r="T7" i="142"/>
  <c r="U7" i="142" s="1"/>
  <c r="S7" i="142"/>
  <c r="S6" i="142"/>
  <c r="Y5" i="142"/>
  <c r="S5" i="142"/>
  <c r="AD4" i="142"/>
  <c r="Y4" i="142"/>
  <c r="Z4" i="142" s="1"/>
  <c r="Q4" i="142"/>
  <c r="P4" i="142"/>
  <c r="B1" i="142"/>
  <c r="K115" i="140"/>
  <c r="R114" i="140"/>
  <c r="K114" i="140"/>
  <c r="Y92" i="140"/>
  <c r="T92" i="140"/>
  <c r="Q92" i="140"/>
  <c r="F92" i="140"/>
  <c r="Y70" i="140"/>
  <c r="T70" i="140"/>
  <c r="Q70" i="140"/>
  <c r="G70" i="140"/>
  <c r="G92" i="140" s="1"/>
  <c r="D70" i="140"/>
  <c r="D92" i="140" s="1"/>
  <c r="B70" i="140"/>
  <c r="B92" i="140" s="1"/>
  <c r="S50" i="140"/>
  <c r="T50" i="140" s="1"/>
  <c r="U50" i="140" s="1"/>
  <c r="S49" i="140"/>
  <c r="T49" i="140" s="1"/>
  <c r="U49" i="140" s="1"/>
  <c r="Y48" i="140"/>
  <c r="Q48" i="140"/>
  <c r="G48" i="140"/>
  <c r="F48" i="140"/>
  <c r="F70" i="140" s="1"/>
  <c r="E48" i="140"/>
  <c r="E70" i="140" s="1"/>
  <c r="E92" i="140" s="1"/>
  <c r="D48" i="140"/>
  <c r="C48" i="140"/>
  <c r="C70" i="140" s="1"/>
  <c r="C92" i="140" s="1"/>
  <c r="B48" i="140"/>
  <c r="U8" i="140"/>
  <c r="T8" i="140"/>
  <c r="T7" i="140"/>
  <c r="U7" i="140" s="1"/>
  <c r="U6" i="140"/>
  <c r="T6" i="140"/>
  <c r="Y5" i="140"/>
  <c r="T5" i="140"/>
  <c r="AD4" i="140"/>
  <c r="Y4" i="140"/>
  <c r="Z4" i="140" s="1"/>
  <c r="Q4" i="140"/>
  <c r="P4" i="140"/>
  <c r="B1" i="140"/>
  <c r="K115" i="139"/>
  <c r="Y114" i="139"/>
  <c r="R114" i="139"/>
  <c r="K114" i="139"/>
  <c r="Q92" i="139"/>
  <c r="Y70" i="139"/>
  <c r="Q70" i="139"/>
  <c r="T50" i="139"/>
  <c r="U50" i="139" s="1"/>
  <c r="U49" i="139"/>
  <c r="T49" i="139"/>
  <c r="Q48" i="139"/>
  <c r="U33" i="139"/>
  <c r="T33" i="139"/>
  <c r="U32" i="139"/>
  <c r="T32" i="139"/>
  <c r="U31" i="139"/>
  <c r="T31" i="139"/>
  <c r="T30" i="139"/>
  <c r="U29" i="139"/>
  <c r="T29" i="139"/>
  <c r="U28" i="139"/>
  <c r="T28" i="139"/>
  <c r="Y27" i="139"/>
  <c r="U27" i="139"/>
  <c r="T27" i="139"/>
  <c r="AD26" i="139"/>
  <c r="Z26" i="139"/>
  <c r="Y26" i="139"/>
  <c r="Q26" i="139"/>
  <c r="P26" i="139"/>
  <c r="U11" i="139"/>
  <c r="T11" i="139"/>
  <c r="U10" i="139"/>
  <c r="T10" i="139"/>
  <c r="T9" i="139"/>
  <c r="U9" i="139" s="1"/>
  <c r="T8" i="139"/>
  <c r="U8" i="139" s="1"/>
  <c r="U7" i="139"/>
  <c r="T7" i="139"/>
  <c r="U6" i="139"/>
  <c r="T6" i="139"/>
  <c r="Y5" i="139"/>
  <c r="U5" i="139"/>
  <c r="T5" i="139"/>
  <c r="AD4" i="139"/>
  <c r="Z4" i="139"/>
  <c r="Y4" i="139"/>
  <c r="T4" i="139"/>
  <c r="Q4" i="139"/>
  <c r="P4" i="139"/>
  <c r="B1" i="139"/>
  <c r="K115" i="138"/>
  <c r="R114" i="138"/>
  <c r="K114" i="138"/>
  <c r="Y92" i="138"/>
  <c r="Y114" i="138" s="1"/>
  <c r="T92" i="138"/>
  <c r="Q92" i="138"/>
  <c r="B92" i="138"/>
  <c r="Y70" i="138"/>
  <c r="T70" i="138"/>
  <c r="Q70" i="138"/>
  <c r="F70" i="138"/>
  <c r="F92" i="138" s="1"/>
  <c r="C70" i="138"/>
  <c r="C92" i="138" s="1"/>
  <c r="T50" i="138"/>
  <c r="U50" i="138" s="1"/>
  <c r="S50" i="138"/>
  <c r="U49" i="138"/>
  <c r="T49" i="138"/>
  <c r="T48" i="138" s="1"/>
  <c r="S49" i="138"/>
  <c r="Y48" i="138"/>
  <c r="Q48" i="138"/>
  <c r="G48" i="138"/>
  <c r="G70" i="138" s="1"/>
  <c r="G92" i="138" s="1"/>
  <c r="F48" i="138"/>
  <c r="E48" i="138"/>
  <c r="E70" i="138" s="1"/>
  <c r="E92" i="138" s="1"/>
  <c r="D48" i="138"/>
  <c r="D70" i="138" s="1"/>
  <c r="D92" i="138" s="1"/>
  <c r="C48" i="138"/>
  <c r="B48" i="138"/>
  <c r="B70" i="138" s="1"/>
  <c r="U8" i="138"/>
  <c r="T8" i="138"/>
  <c r="U7" i="138"/>
  <c r="T7" i="138"/>
  <c r="U6" i="138"/>
  <c r="T6" i="138"/>
  <c r="Y5" i="138"/>
  <c r="U5" i="138"/>
  <c r="T5" i="138"/>
  <c r="AD4" i="138"/>
  <c r="Z4" i="138"/>
  <c r="Y4" i="138"/>
  <c r="T4" i="138"/>
  <c r="Q4" i="138"/>
  <c r="P4" i="138"/>
  <c r="B1" i="138"/>
  <c r="R114" i="137"/>
  <c r="K114" i="137"/>
  <c r="K115" i="137" s="1"/>
  <c r="Q92" i="137"/>
  <c r="Y70" i="137"/>
  <c r="Q70" i="137"/>
  <c r="U59" i="137"/>
  <c r="T59" i="137"/>
  <c r="T58" i="137"/>
  <c r="U58" i="137" s="1"/>
  <c r="T57" i="137"/>
  <c r="U57" i="137" s="1"/>
  <c r="U56" i="137"/>
  <c r="T56" i="137"/>
  <c r="U55" i="137"/>
  <c r="T55" i="137"/>
  <c r="T54" i="137"/>
  <c r="U54" i="137" s="1"/>
  <c r="T53" i="137"/>
  <c r="U53" i="137" s="1"/>
  <c r="U52" i="137"/>
  <c r="T52" i="137"/>
  <c r="U51" i="137"/>
  <c r="T51" i="137"/>
  <c r="T50" i="137"/>
  <c r="U50" i="137" s="1"/>
  <c r="Y49" i="137"/>
  <c r="U49" i="137"/>
  <c r="T49" i="137"/>
  <c r="Y48" i="137"/>
  <c r="Z48" i="137" s="1"/>
  <c r="Q48" i="137"/>
  <c r="P48" i="137"/>
  <c r="T38" i="137"/>
  <c r="U38" i="137" s="1"/>
  <c r="U37" i="137"/>
  <c r="T37" i="137"/>
  <c r="U36" i="137"/>
  <c r="T36" i="137"/>
  <c r="T35" i="137"/>
  <c r="U35" i="137" s="1"/>
  <c r="T34" i="137"/>
  <c r="U34" i="137" s="1"/>
  <c r="U33" i="137"/>
  <c r="T33" i="137"/>
  <c r="U32" i="137"/>
  <c r="T32" i="137"/>
  <c r="T31" i="137"/>
  <c r="U31" i="137" s="1"/>
  <c r="T30" i="137"/>
  <c r="U30" i="137" s="1"/>
  <c r="U29" i="137"/>
  <c r="T29" i="137"/>
  <c r="U28" i="137"/>
  <c r="T28" i="137"/>
  <c r="Y27" i="137"/>
  <c r="U27" i="137"/>
  <c r="T27" i="137"/>
  <c r="Z26" i="137"/>
  <c r="Y26" i="137"/>
  <c r="Q26" i="137"/>
  <c r="P26" i="137"/>
  <c r="T7" i="137"/>
  <c r="U7" i="137" s="1"/>
  <c r="T6" i="137"/>
  <c r="U6" i="137" s="1"/>
  <c r="Y5" i="137"/>
  <c r="T5" i="137"/>
  <c r="AD4" i="137"/>
  <c r="Y4" i="137"/>
  <c r="Z4" i="137" s="1"/>
  <c r="Q4" i="137"/>
  <c r="P4" i="137"/>
  <c r="B1" i="137"/>
  <c r="K115" i="136"/>
  <c r="R114" i="136"/>
  <c r="K114" i="136"/>
  <c r="Q92" i="136"/>
  <c r="B92" i="136"/>
  <c r="Q70" i="136"/>
  <c r="Q48" i="136"/>
  <c r="B48" i="136"/>
  <c r="U37" i="136"/>
  <c r="T37" i="136"/>
  <c r="U36" i="136"/>
  <c r="T36" i="136"/>
  <c r="U35" i="136"/>
  <c r="T35" i="136"/>
  <c r="T34" i="136"/>
  <c r="U34" i="136" s="1"/>
  <c r="U33" i="136"/>
  <c r="T33" i="136"/>
  <c r="U32" i="136"/>
  <c r="T32" i="136"/>
  <c r="U31" i="136"/>
  <c r="T31" i="136"/>
  <c r="T30" i="136"/>
  <c r="U30" i="136" s="1"/>
  <c r="U29" i="136"/>
  <c r="T29" i="136"/>
  <c r="Y28" i="136"/>
  <c r="T28" i="136"/>
  <c r="U28" i="136" s="1"/>
  <c r="Y27" i="136"/>
  <c r="T27" i="136"/>
  <c r="Z26" i="136"/>
  <c r="Y26" i="136"/>
  <c r="Q26" i="136"/>
  <c r="P26" i="136"/>
  <c r="U17" i="136"/>
  <c r="T17" i="136"/>
  <c r="U16" i="136"/>
  <c r="T16" i="136"/>
  <c r="T15" i="136"/>
  <c r="U15" i="136" s="1"/>
  <c r="T14" i="136"/>
  <c r="U14" i="136" s="1"/>
  <c r="U13" i="136"/>
  <c r="T13" i="136"/>
  <c r="U12" i="136"/>
  <c r="T12" i="136"/>
  <c r="T11" i="136"/>
  <c r="U11" i="136" s="1"/>
  <c r="T10" i="136"/>
  <c r="U10" i="136" s="1"/>
  <c r="U9" i="136"/>
  <c r="T9" i="136"/>
  <c r="U8" i="136"/>
  <c r="T8" i="136"/>
  <c r="T7" i="136"/>
  <c r="U7" i="136" s="1"/>
  <c r="T6" i="136"/>
  <c r="U6" i="136" s="1"/>
  <c r="Y5" i="136"/>
  <c r="T5" i="136"/>
  <c r="U5" i="136" s="1"/>
  <c r="S5" i="136"/>
  <c r="AD4" i="136"/>
  <c r="Z4" i="136"/>
  <c r="Y4" i="136"/>
  <c r="Y114" i="136" s="1"/>
  <c r="Q4" i="136"/>
  <c r="P4" i="136"/>
  <c r="B1" i="136"/>
  <c r="R114" i="135"/>
  <c r="K114" i="135"/>
  <c r="K115" i="135" s="1"/>
  <c r="Y92" i="135"/>
  <c r="T92" i="135"/>
  <c r="Q92" i="135"/>
  <c r="B92" i="135"/>
  <c r="Y70" i="135"/>
  <c r="T70" i="135"/>
  <c r="Q70" i="135"/>
  <c r="E70" i="135"/>
  <c r="E92" i="135" s="1"/>
  <c r="C70" i="135"/>
  <c r="C92" i="135" s="1"/>
  <c r="T50" i="135"/>
  <c r="U50" i="135" s="1"/>
  <c r="S50" i="135"/>
  <c r="T49" i="135"/>
  <c r="U49" i="135" s="1"/>
  <c r="S49" i="135"/>
  <c r="Y48" i="135"/>
  <c r="Q48" i="135"/>
  <c r="G48" i="135"/>
  <c r="G70" i="135" s="1"/>
  <c r="G92" i="135" s="1"/>
  <c r="F48" i="135"/>
  <c r="F70" i="135" s="1"/>
  <c r="F92" i="135" s="1"/>
  <c r="E48" i="135"/>
  <c r="D48" i="135"/>
  <c r="D70" i="135" s="1"/>
  <c r="D92" i="135" s="1"/>
  <c r="C48" i="135"/>
  <c r="B48" i="135"/>
  <c r="B70" i="135" s="1"/>
  <c r="U31" i="135"/>
  <c r="T31" i="135"/>
  <c r="U30" i="135"/>
  <c r="T30" i="135"/>
  <c r="T29" i="135"/>
  <c r="U29" i="135" s="1"/>
  <c r="Y28" i="135"/>
  <c r="U28" i="135"/>
  <c r="T28" i="135"/>
  <c r="Y27" i="135"/>
  <c r="U27" i="135"/>
  <c r="T27" i="135"/>
  <c r="T19" i="135"/>
  <c r="U19" i="135" s="1"/>
  <c r="T18" i="135"/>
  <c r="U18" i="135" s="1"/>
  <c r="U17" i="135"/>
  <c r="T17" i="135"/>
  <c r="U16" i="135"/>
  <c r="T16" i="135"/>
  <c r="T15" i="135"/>
  <c r="U15" i="135" s="1"/>
  <c r="T14" i="135"/>
  <c r="U14" i="135" s="1"/>
  <c r="U13" i="135"/>
  <c r="T13" i="135"/>
  <c r="U12" i="135"/>
  <c r="T12" i="135"/>
  <c r="T11" i="135"/>
  <c r="U11" i="135" s="1"/>
  <c r="T10" i="135"/>
  <c r="U10" i="135" s="1"/>
  <c r="U9" i="135"/>
  <c r="T9" i="135"/>
  <c r="U8" i="135"/>
  <c r="T8" i="135"/>
  <c r="T7" i="135"/>
  <c r="U7" i="135" s="1"/>
  <c r="T6" i="135"/>
  <c r="U6" i="135" s="1"/>
  <c r="Y5" i="135"/>
  <c r="T5" i="135"/>
  <c r="U5" i="135" s="1"/>
  <c r="S5" i="135"/>
  <c r="AD4" i="135"/>
  <c r="Z4" i="135"/>
  <c r="Y4" i="135"/>
  <c r="Q4" i="135"/>
  <c r="P4" i="135"/>
  <c r="B1" i="135"/>
  <c r="R114" i="134"/>
  <c r="K114" i="134"/>
  <c r="K115" i="134" s="1"/>
  <c r="Y92" i="134"/>
  <c r="T92" i="134"/>
  <c r="Q92" i="134"/>
  <c r="G92" i="134"/>
  <c r="B92" i="134"/>
  <c r="Y70" i="134"/>
  <c r="T70" i="134"/>
  <c r="Q70" i="134"/>
  <c r="E70" i="134"/>
  <c r="E92" i="134" s="1"/>
  <c r="C70" i="134"/>
  <c r="C92" i="134" s="1"/>
  <c r="T50" i="134"/>
  <c r="U50" i="134" s="1"/>
  <c r="S50" i="134"/>
  <c r="T49" i="134"/>
  <c r="U49" i="134" s="1"/>
  <c r="S49" i="134"/>
  <c r="Y48" i="134"/>
  <c r="Q48" i="134"/>
  <c r="G48" i="134"/>
  <c r="G70" i="134" s="1"/>
  <c r="F48" i="134"/>
  <c r="F70" i="134" s="1"/>
  <c r="F92" i="134" s="1"/>
  <c r="E48" i="134"/>
  <c r="D48" i="134"/>
  <c r="D70" i="134" s="1"/>
  <c r="D92" i="134" s="1"/>
  <c r="C48" i="134"/>
  <c r="B48" i="134"/>
  <c r="B70" i="134" s="1"/>
  <c r="U31" i="134"/>
  <c r="T31" i="134"/>
  <c r="U30" i="134"/>
  <c r="T30" i="134"/>
  <c r="T29" i="134"/>
  <c r="U29" i="134" s="1"/>
  <c r="Y28" i="134"/>
  <c r="U28" i="134"/>
  <c r="T28" i="134"/>
  <c r="Y27" i="134"/>
  <c r="U27" i="134"/>
  <c r="T27" i="134"/>
  <c r="T8" i="134"/>
  <c r="U8" i="134" s="1"/>
  <c r="S8" i="134"/>
  <c r="U7" i="134"/>
  <c r="T7" i="134"/>
  <c r="S7" i="134"/>
  <c r="U6" i="134"/>
  <c r="S6" i="134"/>
  <c r="Y5" i="134"/>
  <c r="T5" i="134"/>
  <c r="S5" i="134"/>
  <c r="T6" i="134" s="1"/>
  <c r="AD4" i="134"/>
  <c r="Z4" i="134"/>
  <c r="Y4" i="134"/>
  <c r="Q4" i="134"/>
  <c r="P4" i="134"/>
  <c r="B1" i="134"/>
  <c r="K115" i="133"/>
  <c r="R114" i="133"/>
  <c r="K114" i="133"/>
  <c r="Y92" i="133"/>
  <c r="T92" i="133"/>
  <c r="Q92" i="133"/>
  <c r="G92" i="133"/>
  <c r="F92" i="133"/>
  <c r="D92" i="133"/>
  <c r="C92" i="133"/>
  <c r="Y70" i="133"/>
  <c r="T70" i="133"/>
  <c r="Q70" i="133"/>
  <c r="G70" i="133"/>
  <c r="F70" i="133"/>
  <c r="E70" i="133"/>
  <c r="E92" i="133" s="1"/>
  <c r="D70" i="133"/>
  <c r="C70" i="133"/>
  <c r="B70" i="133"/>
  <c r="B92" i="133" s="1"/>
  <c r="U50" i="133"/>
  <c r="U49" i="133"/>
  <c r="Y48" i="133"/>
  <c r="T48" i="133"/>
  <c r="Q48" i="133"/>
  <c r="Y28" i="133"/>
  <c r="T28" i="133"/>
  <c r="U28" i="133" s="1"/>
  <c r="Y27" i="133"/>
  <c r="U27" i="133"/>
  <c r="T27" i="133"/>
  <c r="T26" i="133" s="1"/>
  <c r="Y26" i="133"/>
  <c r="Z26" i="133" s="1"/>
  <c r="Q26" i="133"/>
  <c r="P26" i="133"/>
  <c r="T13" i="133"/>
  <c r="U13" i="133" s="1"/>
  <c r="U12" i="133"/>
  <c r="T12" i="133"/>
  <c r="U11" i="133"/>
  <c r="T11" i="133"/>
  <c r="T10" i="133"/>
  <c r="U10" i="133" s="1"/>
  <c r="T9" i="133"/>
  <c r="T8" i="133"/>
  <c r="Q8" i="133"/>
  <c r="U7" i="133"/>
  <c r="T7" i="133"/>
  <c r="U6" i="133"/>
  <c r="T6" i="133"/>
  <c r="Y5" i="133"/>
  <c r="U5" i="133"/>
  <c r="T5" i="133"/>
  <c r="AD4" i="133"/>
  <c r="Z4" i="133"/>
  <c r="Y4" i="133"/>
  <c r="P4" i="133"/>
  <c r="B1" i="133"/>
  <c r="Y114" i="132"/>
  <c r="R114" i="132"/>
  <c r="K114" i="132"/>
  <c r="K115" i="132" s="1"/>
  <c r="Y92" i="132"/>
  <c r="T92" i="132"/>
  <c r="Q92" i="132"/>
  <c r="G92" i="132"/>
  <c r="E92" i="132"/>
  <c r="D92" i="132"/>
  <c r="B92" i="132"/>
  <c r="Y70" i="132"/>
  <c r="T70" i="132"/>
  <c r="Q70" i="132"/>
  <c r="G70" i="132"/>
  <c r="F70" i="132"/>
  <c r="F92" i="132" s="1"/>
  <c r="E70" i="132"/>
  <c r="D70" i="132"/>
  <c r="C70" i="132"/>
  <c r="C92" i="132" s="1"/>
  <c r="B70" i="132"/>
  <c r="U50" i="132"/>
  <c r="U49" i="132"/>
  <c r="Y48" i="132"/>
  <c r="T48" i="132"/>
  <c r="Q48" i="132"/>
  <c r="T32" i="132"/>
  <c r="U32" i="132" s="1"/>
  <c r="T31" i="132"/>
  <c r="U31" i="132" s="1"/>
  <c r="U30" i="132"/>
  <c r="T30" i="132"/>
  <c r="U29" i="132"/>
  <c r="T29" i="132"/>
  <c r="Y28" i="132"/>
  <c r="U28" i="132"/>
  <c r="T28" i="132"/>
  <c r="T26" i="132" s="1"/>
  <c r="Y27" i="132"/>
  <c r="U27" i="132"/>
  <c r="T27" i="132"/>
  <c r="Z26" i="132"/>
  <c r="Y26" i="132"/>
  <c r="Q26" i="132"/>
  <c r="P26" i="132"/>
  <c r="U16" i="132"/>
  <c r="T16" i="132"/>
  <c r="T15" i="132"/>
  <c r="U15" i="132" s="1"/>
  <c r="U14" i="132"/>
  <c r="T14" i="132"/>
  <c r="U13" i="132"/>
  <c r="T13" i="132"/>
  <c r="U12" i="132"/>
  <c r="T12" i="132"/>
  <c r="T11" i="132"/>
  <c r="U11" i="132" s="1"/>
  <c r="U10" i="132"/>
  <c r="T10" i="132"/>
  <c r="U9" i="132"/>
  <c r="T9" i="132"/>
  <c r="U8" i="132"/>
  <c r="T8" i="132"/>
  <c r="T7" i="132"/>
  <c r="U7" i="132" s="1"/>
  <c r="U6" i="132"/>
  <c r="T6" i="132"/>
  <c r="Y5" i="132"/>
  <c r="T5" i="132"/>
  <c r="AD4" i="132"/>
  <c r="Y4" i="132"/>
  <c r="Z4" i="132" s="1"/>
  <c r="Q4" i="132"/>
  <c r="P4" i="132"/>
  <c r="B1" i="132"/>
  <c r="Y114" i="131"/>
  <c r="R114" i="131"/>
  <c r="K114" i="131"/>
  <c r="K115" i="131" s="1"/>
  <c r="Y92" i="131"/>
  <c r="T92" i="131"/>
  <c r="Q92" i="131"/>
  <c r="Y70" i="131"/>
  <c r="T70" i="131"/>
  <c r="Q70" i="131"/>
  <c r="G70" i="131"/>
  <c r="G92" i="131" s="1"/>
  <c r="D70" i="131"/>
  <c r="D92" i="131" s="1"/>
  <c r="S50" i="131"/>
  <c r="T50" i="131" s="1"/>
  <c r="U50" i="131" s="1"/>
  <c r="S49" i="131"/>
  <c r="T49" i="131" s="1"/>
  <c r="Y48" i="131"/>
  <c r="Q48" i="131"/>
  <c r="G48" i="131"/>
  <c r="F48" i="131"/>
  <c r="F70" i="131" s="1"/>
  <c r="F92" i="131" s="1"/>
  <c r="E48" i="131"/>
  <c r="E70" i="131" s="1"/>
  <c r="E92" i="131" s="1"/>
  <c r="D48" i="131"/>
  <c r="C48" i="131"/>
  <c r="C70" i="131" s="1"/>
  <c r="C92" i="131" s="1"/>
  <c r="B48" i="131"/>
  <c r="B70" i="131" s="1"/>
  <c r="B92" i="131" s="1"/>
  <c r="T31" i="131"/>
  <c r="U31" i="131" s="1"/>
  <c r="T30" i="131"/>
  <c r="U30" i="131" s="1"/>
  <c r="U29" i="131"/>
  <c r="T29" i="131"/>
  <c r="Y28" i="131"/>
  <c r="U28" i="131"/>
  <c r="T28" i="131"/>
  <c r="Y27" i="131"/>
  <c r="T27" i="131"/>
  <c r="U27" i="131" s="1"/>
  <c r="U8" i="131"/>
  <c r="T8" i="131"/>
  <c r="U7" i="131"/>
  <c r="T7" i="131"/>
  <c r="T6" i="131"/>
  <c r="U6" i="131" s="1"/>
  <c r="Y5" i="131"/>
  <c r="U5" i="131"/>
  <c r="T5" i="131"/>
  <c r="T4" i="131" s="1"/>
  <c r="AD4" i="131"/>
  <c r="Z4" i="131"/>
  <c r="Y4" i="131"/>
  <c r="Q4" i="131"/>
  <c r="P4" i="131"/>
  <c r="B1" i="131"/>
  <c r="K115" i="130"/>
  <c r="R114" i="130"/>
  <c r="K114" i="130"/>
  <c r="Y92" i="130"/>
  <c r="Y114" i="130" s="1"/>
  <c r="T92" i="130"/>
  <c r="Q92" i="130"/>
  <c r="D92" i="130"/>
  <c r="Y70" i="130"/>
  <c r="T70" i="130"/>
  <c r="Q70" i="130"/>
  <c r="E70" i="130"/>
  <c r="E92" i="130" s="1"/>
  <c r="B70" i="130"/>
  <c r="B92" i="130" s="1"/>
  <c r="T50" i="130"/>
  <c r="U50" i="130" s="1"/>
  <c r="S50" i="130"/>
  <c r="T49" i="130"/>
  <c r="S49" i="130"/>
  <c r="Y48" i="130"/>
  <c r="Q48" i="130"/>
  <c r="G48" i="130"/>
  <c r="G70" i="130" s="1"/>
  <c r="G92" i="130" s="1"/>
  <c r="F48" i="130"/>
  <c r="F70" i="130" s="1"/>
  <c r="F92" i="130" s="1"/>
  <c r="E48" i="130"/>
  <c r="D48" i="130"/>
  <c r="D70" i="130" s="1"/>
  <c r="C48" i="130"/>
  <c r="C70" i="130" s="1"/>
  <c r="C92" i="130" s="1"/>
  <c r="B48" i="130"/>
  <c r="U31" i="130"/>
  <c r="T31" i="130"/>
  <c r="U30" i="130"/>
  <c r="T30" i="130"/>
  <c r="T29" i="130"/>
  <c r="U29" i="130" s="1"/>
  <c r="Y28" i="130"/>
  <c r="T28" i="130"/>
  <c r="U28" i="130" s="1"/>
  <c r="Y27" i="130"/>
  <c r="U27" i="130"/>
  <c r="T27" i="130"/>
  <c r="T17" i="130"/>
  <c r="U17" i="130" s="1"/>
  <c r="U16" i="130"/>
  <c r="T16" i="130"/>
  <c r="U15" i="130"/>
  <c r="T15" i="130"/>
  <c r="U14" i="130"/>
  <c r="T14" i="130"/>
  <c r="T13" i="130"/>
  <c r="U13" i="130" s="1"/>
  <c r="U12" i="130"/>
  <c r="T12" i="130"/>
  <c r="U11" i="130"/>
  <c r="T11" i="130"/>
  <c r="U10" i="130"/>
  <c r="T10" i="130"/>
  <c r="T9" i="130"/>
  <c r="U9" i="130" s="1"/>
  <c r="U8" i="130"/>
  <c r="T8" i="130"/>
  <c r="U7" i="130"/>
  <c r="T7" i="130"/>
  <c r="U6" i="130"/>
  <c r="T6" i="130"/>
  <c r="Y5" i="130"/>
  <c r="U5" i="130"/>
  <c r="T5" i="130"/>
  <c r="AD4" i="130"/>
  <c r="Z4" i="130"/>
  <c r="Y4" i="130"/>
  <c r="Q4" i="130"/>
  <c r="P4" i="130"/>
  <c r="B1" i="130"/>
  <c r="R114" i="129"/>
  <c r="K114" i="129"/>
  <c r="K115" i="129" s="1"/>
  <c r="Q92" i="129"/>
  <c r="E92" i="129"/>
  <c r="B92" i="129"/>
  <c r="Q70" i="129"/>
  <c r="G70" i="129"/>
  <c r="G92" i="129" s="1"/>
  <c r="F70" i="129"/>
  <c r="F92" i="129" s="1"/>
  <c r="E70" i="129"/>
  <c r="D70" i="129"/>
  <c r="D92" i="129" s="1"/>
  <c r="C70" i="129"/>
  <c r="C92" i="129" s="1"/>
  <c r="B70" i="129"/>
  <c r="U60" i="129"/>
  <c r="T60" i="129"/>
  <c r="T59" i="129"/>
  <c r="U59" i="129" s="1"/>
  <c r="T58" i="129"/>
  <c r="U58" i="129" s="1"/>
  <c r="U57" i="129"/>
  <c r="T57" i="129"/>
  <c r="U56" i="129"/>
  <c r="T56" i="129"/>
  <c r="U55" i="129"/>
  <c r="T55" i="129"/>
  <c r="T54" i="129"/>
  <c r="U54" i="129" s="1"/>
  <c r="U53" i="129"/>
  <c r="T53" i="129"/>
  <c r="U52" i="129"/>
  <c r="T52" i="129"/>
  <c r="T51" i="129"/>
  <c r="T50" i="129"/>
  <c r="U50" i="129" s="1"/>
  <c r="Y49" i="129"/>
  <c r="T49" i="129"/>
  <c r="U49" i="129" s="1"/>
  <c r="Y48" i="129"/>
  <c r="Q48" i="129"/>
  <c r="P48" i="129"/>
  <c r="U34" i="129"/>
  <c r="T34" i="129"/>
  <c r="U33" i="129"/>
  <c r="T33" i="129"/>
  <c r="T32" i="129"/>
  <c r="U32" i="129" s="1"/>
  <c r="T31" i="129"/>
  <c r="U31" i="129" s="1"/>
  <c r="U30" i="129"/>
  <c r="T30" i="129"/>
  <c r="U29" i="129"/>
  <c r="T29" i="129"/>
  <c r="Y28" i="129"/>
  <c r="U28" i="129"/>
  <c r="T28" i="129"/>
  <c r="Y27" i="129"/>
  <c r="U27" i="129"/>
  <c r="T27" i="129"/>
  <c r="Z26" i="129"/>
  <c r="Y26" i="129"/>
  <c r="Q26" i="129"/>
  <c r="P26" i="129"/>
  <c r="U16" i="129"/>
  <c r="T16" i="129"/>
  <c r="T15" i="129"/>
  <c r="U15" i="129" s="1"/>
  <c r="T14" i="129"/>
  <c r="U14" i="129" s="1"/>
  <c r="U13" i="129"/>
  <c r="T13" i="129"/>
  <c r="U12" i="129"/>
  <c r="T12" i="129"/>
  <c r="T11" i="129"/>
  <c r="U11" i="129" s="1"/>
  <c r="U10" i="129"/>
  <c r="T10" i="129"/>
  <c r="U9" i="129"/>
  <c r="T9" i="129"/>
  <c r="U8" i="129"/>
  <c r="T8" i="129"/>
  <c r="T7" i="129"/>
  <c r="U7" i="129" s="1"/>
  <c r="T6" i="129"/>
  <c r="U5" i="129"/>
  <c r="T5" i="129"/>
  <c r="AD4" i="129"/>
  <c r="Z4" i="129"/>
  <c r="Y4" i="129"/>
  <c r="Q4" i="129"/>
  <c r="P4" i="129"/>
  <c r="B1" i="129"/>
  <c r="R114" i="128"/>
  <c r="K114" i="128"/>
  <c r="K115" i="128" s="1"/>
  <c r="Y92" i="128"/>
  <c r="Y114" i="128" s="1"/>
  <c r="T92" i="128"/>
  <c r="Q92" i="128"/>
  <c r="G92" i="128"/>
  <c r="Y70" i="128"/>
  <c r="T70" i="128"/>
  <c r="Q70" i="128"/>
  <c r="F70" i="128"/>
  <c r="F92" i="128" s="1"/>
  <c r="C70" i="128"/>
  <c r="C92" i="128" s="1"/>
  <c r="B70" i="128"/>
  <c r="B92" i="128" s="1"/>
  <c r="T50" i="128"/>
  <c r="U50" i="128" s="1"/>
  <c r="S50" i="128"/>
  <c r="U49" i="128"/>
  <c r="T49" i="128"/>
  <c r="S49" i="128"/>
  <c r="Y48" i="128"/>
  <c r="T48" i="128"/>
  <c r="Q48" i="128"/>
  <c r="G48" i="128"/>
  <c r="G70" i="128" s="1"/>
  <c r="F48" i="128"/>
  <c r="E48" i="128"/>
  <c r="E70" i="128" s="1"/>
  <c r="E92" i="128" s="1"/>
  <c r="D48" i="128"/>
  <c r="D70" i="128" s="1"/>
  <c r="D92" i="128" s="1"/>
  <c r="C48" i="128"/>
  <c r="B48" i="128"/>
  <c r="U10" i="128"/>
  <c r="T10" i="128"/>
  <c r="U9" i="128"/>
  <c r="T9" i="128"/>
  <c r="T8" i="128"/>
  <c r="U8" i="128" s="1"/>
  <c r="T7" i="128"/>
  <c r="U7" i="128" s="1"/>
  <c r="T6" i="128"/>
  <c r="Y5" i="128"/>
  <c r="T5" i="128"/>
  <c r="U5" i="128" s="1"/>
  <c r="AD4" i="128"/>
  <c r="Y4" i="128"/>
  <c r="Z4" i="128" s="1"/>
  <c r="Q4" i="128"/>
  <c r="P4" i="128"/>
  <c r="B1" i="128"/>
  <c r="R114" i="127"/>
  <c r="K114" i="127"/>
  <c r="K115" i="127" s="1"/>
  <c r="Y92" i="127"/>
  <c r="T92" i="127"/>
  <c r="Q92" i="127"/>
  <c r="C92" i="127"/>
  <c r="Y70" i="127"/>
  <c r="T70" i="127"/>
  <c r="Q70" i="127"/>
  <c r="G70" i="127"/>
  <c r="G92" i="127" s="1"/>
  <c r="F70" i="127"/>
  <c r="F92" i="127" s="1"/>
  <c r="E70" i="127"/>
  <c r="E92" i="127" s="1"/>
  <c r="D70" i="127"/>
  <c r="D92" i="127" s="1"/>
  <c r="C70" i="127"/>
  <c r="B70" i="127"/>
  <c r="B92" i="127" s="1"/>
  <c r="U50" i="127"/>
  <c r="U49" i="127"/>
  <c r="Y48" i="127"/>
  <c r="T48" i="127"/>
  <c r="Q48" i="127"/>
  <c r="Y28" i="127"/>
  <c r="Y27" i="127"/>
  <c r="T19" i="127"/>
  <c r="U19" i="127" s="1"/>
  <c r="U18" i="127"/>
  <c r="T18" i="127"/>
  <c r="U17" i="127"/>
  <c r="T17" i="127"/>
  <c r="U16" i="127"/>
  <c r="T16" i="127"/>
  <c r="T15" i="127"/>
  <c r="U15" i="127" s="1"/>
  <c r="T14" i="127"/>
  <c r="U14" i="127" s="1"/>
  <c r="U13" i="127"/>
  <c r="T13" i="127"/>
  <c r="T12" i="127"/>
  <c r="U12" i="127" s="1"/>
  <c r="T11" i="127"/>
  <c r="U11" i="127" s="1"/>
  <c r="T10" i="127"/>
  <c r="U10" i="127" s="1"/>
  <c r="U9" i="127"/>
  <c r="T9" i="127"/>
  <c r="T8" i="127"/>
  <c r="U8" i="127" s="1"/>
  <c r="T7" i="127"/>
  <c r="U7" i="127" s="1"/>
  <c r="T6" i="127"/>
  <c r="U6" i="127" s="1"/>
  <c r="Y5" i="127"/>
  <c r="U5" i="127"/>
  <c r="T5" i="127"/>
  <c r="AD4" i="127"/>
  <c r="Y4" i="127"/>
  <c r="Z4" i="127" s="1"/>
  <c r="Q4" i="127"/>
  <c r="P4" i="127"/>
  <c r="B1" i="127"/>
  <c r="R114" i="126"/>
  <c r="K114" i="126"/>
  <c r="K115" i="126" s="1"/>
  <c r="Y92" i="126"/>
  <c r="Y114" i="126" s="1"/>
  <c r="T92" i="126"/>
  <c r="Q92" i="126"/>
  <c r="G92" i="126"/>
  <c r="C92" i="126"/>
  <c r="Y70" i="126"/>
  <c r="T70" i="126"/>
  <c r="Q70" i="126"/>
  <c r="G70" i="126"/>
  <c r="F70" i="126"/>
  <c r="F92" i="126" s="1"/>
  <c r="E70" i="126"/>
  <c r="E92" i="126" s="1"/>
  <c r="D70" i="126"/>
  <c r="D92" i="126" s="1"/>
  <c r="C70" i="126"/>
  <c r="B70" i="126"/>
  <c r="B92" i="126" s="1"/>
  <c r="U50" i="126"/>
  <c r="U49" i="126"/>
  <c r="Y48" i="126"/>
  <c r="T48" i="126"/>
  <c r="Q48" i="126"/>
  <c r="Y28" i="126"/>
  <c r="Y27" i="126"/>
  <c r="T14" i="126"/>
  <c r="U14" i="126" s="1"/>
  <c r="T13" i="126"/>
  <c r="U13" i="126" s="1"/>
  <c r="T12" i="126"/>
  <c r="U12" i="126" s="1"/>
  <c r="U11" i="126"/>
  <c r="T11" i="126"/>
  <c r="T10" i="126"/>
  <c r="U10" i="126" s="1"/>
  <c r="T9" i="126"/>
  <c r="U9" i="126" s="1"/>
  <c r="T8" i="126"/>
  <c r="U8" i="126" s="1"/>
  <c r="U7" i="126"/>
  <c r="T7" i="126"/>
  <c r="T6" i="126"/>
  <c r="Y5" i="126"/>
  <c r="T5" i="126"/>
  <c r="U5" i="126" s="1"/>
  <c r="AD4" i="126"/>
  <c r="Z4" i="126"/>
  <c r="Y4" i="126"/>
  <c r="Q4" i="126"/>
  <c r="P4" i="126"/>
  <c r="B1" i="126"/>
  <c r="R114" i="125"/>
  <c r="K114" i="125"/>
  <c r="K115" i="125" s="1"/>
  <c r="Y92" i="125"/>
  <c r="Y114" i="125" s="1"/>
  <c r="T92" i="125"/>
  <c r="Q92" i="125"/>
  <c r="G92" i="125"/>
  <c r="D92" i="125"/>
  <c r="C92" i="125"/>
  <c r="Y70" i="125"/>
  <c r="T70" i="125"/>
  <c r="Q70" i="125"/>
  <c r="G70" i="125"/>
  <c r="F70" i="125"/>
  <c r="F92" i="125" s="1"/>
  <c r="E70" i="125"/>
  <c r="E92" i="125" s="1"/>
  <c r="D70" i="125"/>
  <c r="C70" i="125"/>
  <c r="B70" i="125"/>
  <c r="B92" i="125" s="1"/>
  <c r="U50" i="125"/>
  <c r="U49" i="125"/>
  <c r="Y48" i="125"/>
  <c r="T48" i="125"/>
  <c r="Q48" i="125"/>
  <c r="Y28" i="125"/>
  <c r="Y27" i="125"/>
  <c r="U12" i="125"/>
  <c r="T12" i="125"/>
  <c r="U11" i="125"/>
  <c r="T11" i="125"/>
  <c r="T10" i="125"/>
  <c r="U10" i="125" s="1"/>
  <c r="T9" i="125"/>
  <c r="U9" i="125" s="1"/>
  <c r="U8" i="125"/>
  <c r="T8" i="125"/>
  <c r="U7" i="125"/>
  <c r="T7" i="125"/>
  <c r="T6" i="125"/>
  <c r="U6" i="125" s="1"/>
  <c r="Y5" i="125"/>
  <c r="T5" i="125"/>
  <c r="AD4" i="125"/>
  <c r="Y4" i="125"/>
  <c r="Z4" i="125" s="1"/>
  <c r="Q4" i="125"/>
  <c r="P4" i="125"/>
  <c r="B1" i="125"/>
  <c r="K115" i="124"/>
  <c r="R114" i="124"/>
  <c r="K114" i="124"/>
  <c r="Y92" i="124"/>
  <c r="T92" i="124"/>
  <c r="Q92" i="124"/>
  <c r="F92" i="124"/>
  <c r="C92" i="124"/>
  <c r="Y70" i="124"/>
  <c r="T70" i="124"/>
  <c r="Q70" i="124"/>
  <c r="G70" i="124"/>
  <c r="G92" i="124" s="1"/>
  <c r="F70" i="124"/>
  <c r="E70" i="124"/>
  <c r="E92" i="124" s="1"/>
  <c r="D70" i="124"/>
  <c r="D92" i="124" s="1"/>
  <c r="C70" i="124"/>
  <c r="B70" i="124"/>
  <c r="B92" i="124" s="1"/>
  <c r="U50" i="124"/>
  <c r="U49" i="124"/>
  <c r="Y48" i="124"/>
  <c r="T48" i="124"/>
  <c r="Q48" i="124"/>
  <c r="Y28" i="124"/>
  <c r="Y27" i="124"/>
  <c r="U6" i="124"/>
  <c r="T6" i="124"/>
  <c r="Y5" i="124"/>
  <c r="U5" i="124"/>
  <c r="T5" i="124"/>
  <c r="AD4" i="124"/>
  <c r="Y4" i="124"/>
  <c r="Z4" i="124" s="1"/>
  <c r="T4" i="124"/>
  <c r="Q4" i="124"/>
  <c r="P4" i="124"/>
  <c r="B1" i="124"/>
  <c r="R114" i="24"/>
  <c r="K114" i="24"/>
  <c r="K115" i="24" s="1"/>
  <c r="Y92" i="24"/>
  <c r="Y114" i="24" s="1"/>
  <c r="T92" i="24"/>
  <c r="Q92" i="24"/>
  <c r="G92" i="24"/>
  <c r="Y70" i="24"/>
  <c r="T70" i="24"/>
  <c r="Q70" i="24"/>
  <c r="C70" i="24"/>
  <c r="C92" i="24" s="1"/>
  <c r="T50" i="24"/>
  <c r="S50" i="24"/>
  <c r="T49" i="24"/>
  <c r="U49" i="24" s="1"/>
  <c r="S49" i="24"/>
  <c r="Y48" i="24"/>
  <c r="Q48" i="24"/>
  <c r="G48" i="24"/>
  <c r="G70" i="24" s="1"/>
  <c r="B48" i="24"/>
  <c r="B70" i="24" s="1"/>
  <c r="B92" i="24" s="1"/>
  <c r="S32" i="24"/>
  <c r="T32" i="24" s="1"/>
  <c r="U32" i="24" s="1"/>
  <c r="S31" i="24"/>
  <c r="T31" i="24" s="1"/>
  <c r="U31" i="24" s="1"/>
  <c r="T30" i="24"/>
  <c r="U30" i="24" s="1"/>
  <c r="S30" i="24"/>
  <c r="S29" i="24"/>
  <c r="Y28" i="24"/>
  <c r="S28" i="24"/>
  <c r="T28" i="24" s="1"/>
  <c r="U28" i="24" s="1"/>
  <c r="Y27" i="24"/>
  <c r="T27" i="24"/>
  <c r="S27" i="24"/>
  <c r="AD26" i="24"/>
  <c r="Y26" i="24"/>
  <c r="Q26" i="24"/>
  <c r="P26" i="24"/>
  <c r="G26" i="24"/>
  <c r="F26" i="24"/>
  <c r="F48" i="24" s="1"/>
  <c r="F70" i="24" s="1"/>
  <c r="F92" i="24" s="1"/>
  <c r="E26" i="24"/>
  <c r="E48" i="24" s="1"/>
  <c r="E70" i="24" s="1"/>
  <c r="E92" i="24" s="1"/>
  <c r="D26" i="24"/>
  <c r="D48" i="24" s="1"/>
  <c r="D70" i="24" s="1"/>
  <c r="D92" i="24" s="1"/>
  <c r="C26" i="24"/>
  <c r="C48" i="24" s="1"/>
  <c r="B26" i="24"/>
  <c r="U11" i="24"/>
  <c r="S11" i="24"/>
  <c r="T11" i="24" s="1"/>
  <c r="U10" i="24"/>
  <c r="S10" i="24"/>
  <c r="T10" i="24" s="1"/>
  <c r="S9" i="24"/>
  <c r="S8" i="24"/>
  <c r="T8" i="24" s="1"/>
  <c r="U8" i="24" s="1"/>
  <c r="S7" i="24"/>
  <c r="T7" i="24" s="1"/>
  <c r="U7" i="24" s="1"/>
  <c r="T6" i="24"/>
  <c r="U6" i="24" s="1"/>
  <c r="S6" i="24"/>
  <c r="T5" i="24"/>
  <c r="U5" i="24" s="1"/>
  <c r="S5" i="24"/>
  <c r="X4" i="24"/>
  <c r="Y4" i="24" s="1"/>
  <c r="Z4" i="24" s="1"/>
  <c r="Q4" i="24"/>
  <c r="P4" i="24"/>
  <c r="B1" i="24"/>
  <c r="R114" i="13"/>
  <c r="K114" i="13"/>
  <c r="K115" i="13" s="1"/>
  <c r="Y92" i="13"/>
  <c r="T92" i="13"/>
  <c r="Q92" i="13"/>
  <c r="G92" i="13"/>
  <c r="Y70" i="13"/>
  <c r="T70" i="13"/>
  <c r="Q70" i="13"/>
  <c r="C70" i="13"/>
  <c r="C92" i="13" s="1"/>
  <c r="T50" i="13"/>
  <c r="U50" i="13" s="1"/>
  <c r="S50" i="13"/>
  <c r="S49" i="13"/>
  <c r="T49" i="13" s="1"/>
  <c r="Y48" i="13"/>
  <c r="Q48" i="13"/>
  <c r="G48" i="13"/>
  <c r="G70" i="13" s="1"/>
  <c r="B48" i="13"/>
  <c r="B70" i="13" s="1"/>
  <c r="B92" i="13" s="1"/>
  <c r="S32" i="13"/>
  <c r="T32" i="13" s="1"/>
  <c r="U32" i="13" s="1"/>
  <c r="S31" i="13"/>
  <c r="T31" i="13" s="1"/>
  <c r="U31" i="13" s="1"/>
  <c r="T30" i="13"/>
  <c r="U30" i="13" s="1"/>
  <c r="S30" i="13"/>
  <c r="S29" i="13"/>
  <c r="Y28" i="13"/>
  <c r="S28" i="13"/>
  <c r="T28" i="13" s="1"/>
  <c r="U28" i="13" s="1"/>
  <c r="Y27" i="13"/>
  <c r="T27" i="13"/>
  <c r="S27" i="13"/>
  <c r="AD26" i="13"/>
  <c r="Y26" i="13"/>
  <c r="Q26" i="13"/>
  <c r="P26" i="13"/>
  <c r="G26" i="13"/>
  <c r="F26" i="13"/>
  <c r="F48" i="13" s="1"/>
  <c r="F70" i="13" s="1"/>
  <c r="F92" i="13" s="1"/>
  <c r="E26" i="13"/>
  <c r="E48" i="13" s="1"/>
  <c r="E70" i="13" s="1"/>
  <c r="E92" i="13" s="1"/>
  <c r="D26" i="13"/>
  <c r="D48" i="13" s="1"/>
  <c r="D70" i="13" s="1"/>
  <c r="D92" i="13" s="1"/>
  <c r="C26" i="13"/>
  <c r="C48" i="13" s="1"/>
  <c r="B26" i="13"/>
  <c r="U10" i="13"/>
  <c r="T10" i="13"/>
  <c r="S10" i="13"/>
  <c r="U9" i="13"/>
  <c r="S9" i="13"/>
  <c r="T9" i="13" s="1"/>
  <c r="S8" i="13"/>
  <c r="S7" i="13"/>
  <c r="T7" i="13" s="1"/>
  <c r="U7" i="13" s="1"/>
  <c r="S6" i="13"/>
  <c r="T5" i="13"/>
  <c r="S5" i="13"/>
  <c r="T6" i="13" s="1"/>
  <c r="U6" i="13" s="1"/>
  <c r="X4" i="13"/>
  <c r="Y4" i="13" s="1"/>
  <c r="Z4" i="13" s="1"/>
  <c r="Q4" i="13"/>
  <c r="P4" i="13"/>
  <c r="B1" i="13"/>
  <c r="R114" i="12"/>
  <c r="K114" i="12"/>
  <c r="K115" i="12" s="1"/>
  <c r="Y92" i="12"/>
  <c r="T92" i="12"/>
  <c r="Q92" i="12"/>
  <c r="Y70" i="12"/>
  <c r="T70" i="12"/>
  <c r="Q70" i="12"/>
  <c r="U50" i="12"/>
  <c r="T50" i="12"/>
  <c r="S50" i="12"/>
  <c r="S49" i="12"/>
  <c r="T49" i="12" s="1"/>
  <c r="T48" i="12" s="1"/>
  <c r="Y48" i="12"/>
  <c r="Q48" i="12"/>
  <c r="G48" i="12"/>
  <c r="G70" i="12" s="1"/>
  <c r="G92" i="12" s="1"/>
  <c r="E48" i="12"/>
  <c r="E70" i="12" s="1"/>
  <c r="E92" i="12" s="1"/>
  <c r="T34" i="12"/>
  <c r="U34" i="12" s="1"/>
  <c r="S34" i="12"/>
  <c r="T33" i="12"/>
  <c r="U33" i="12" s="1"/>
  <c r="S33" i="12"/>
  <c r="S32" i="12"/>
  <c r="T32" i="12" s="1"/>
  <c r="U32" i="12" s="1"/>
  <c r="U31" i="12"/>
  <c r="T31" i="12"/>
  <c r="S31" i="12"/>
  <c r="U30" i="12"/>
  <c r="S30" i="12"/>
  <c r="T30" i="12" s="1"/>
  <c r="S29" i="12"/>
  <c r="S28" i="12"/>
  <c r="T28" i="12" s="1"/>
  <c r="U28" i="12" s="1"/>
  <c r="S27" i="12"/>
  <c r="T27" i="12" s="1"/>
  <c r="AD26" i="12"/>
  <c r="Z26" i="12"/>
  <c r="Y26" i="12"/>
  <c r="Q26" i="12"/>
  <c r="P26" i="12"/>
  <c r="G26" i="12"/>
  <c r="F26" i="12"/>
  <c r="F48" i="12" s="1"/>
  <c r="F70" i="12" s="1"/>
  <c r="F92" i="12" s="1"/>
  <c r="E26" i="12"/>
  <c r="D26" i="12"/>
  <c r="D48" i="12" s="1"/>
  <c r="D70" i="12" s="1"/>
  <c r="D92" i="12" s="1"/>
  <c r="C26" i="12"/>
  <c r="C48" i="12" s="1"/>
  <c r="C70" i="12" s="1"/>
  <c r="C92" i="12" s="1"/>
  <c r="B26" i="12"/>
  <c r="B48" i="12" s="1"/>
  <c r="B70" i="12" s="1"/>
  <c r="B92" i="12" s="1"/>
  <c r="U14" i="12"/>
  <c r="S14" i="12"/>
  <c r="T14" i="12" s="1"/>
  <c r="S13" i="12"/>
  <c r="S12" i="12"/>
  <c r="T12" i="12" s="1"/>
  <c r="U12" i="12" s="1"/>
  <c r="S11" i="12"/>
  <c r="T10" i="12"/>
  <c r="U10" i="12" s="1"/>
  <c r="S10" i="12"/>
  <c r="T11" i="12" s="1"/>
  <c r="U11" i="12" s="1"/>
  <c r="T9" i="12"/>
  <c r="U9" i="12" s="1"/>
  <c r="S9" i="12"/>
  <c r="S8" i="12"/>
  <c r="T8" i="12" s="1"/>
  <c r="U8" i="12" s="1"/>
  <c r="U7" i="12"/>
  <c r="T7" i="12"/>
  <c r="S7" i="12"/>
  <c r="Y6" i="12"/>
  <c r="S6" i="12"/>
  <c r="U5" i="12"/>
  <c r="T5" i="12"/>
  <c r="S5" i="12"/>
  <c r="T6" i="12" s="1"/>
  <c r="U6" i="12" s="1"/>
  <c r="AD4" i="12"/>
  <c r="X4" i="12"/>
  <c r="Y4" i="12" s="1"/>
  <c r="Z4" i="12" s="1"/>
  <c r="Q4" i="12"/>
  <c r="P4" i="12"/>
  <c r="B1" i="12"/>
  <c r="K115" i="11"/>
  <c r="R114" i="11"/>
  <c r="K114" i="11"/>
  <c r="Y92" i="11"/>
  <c r="T92" i="11"/>
  <c r="Q92" i="11"/>
  <c r="Y70" i="11"/>
  <c r="T70" i="11"/>
  <c r="Q70" i="11"/>
  <c r="S50" i="11"/>
  <c r="T50" i="11" s="1"/>
  <c r="U50" i="11" s="1"/>
  <c r="S49" i="11"/>
  <c r="T49" i="11" s="1"/>
  <c r="U49" i="11" s="1"/>
  <c r="Y48" i="11"/>
  <c r="Q48" i="11"/>
  <c r="F48" i="11"/>
  <c r="F70" i="11" s="1"/>
  <c r="F92" i="11" s="1"/>
  <c r="U32" i="11"/>
  <c r="T32" i="11"/>
  <c r="S32" i="11"/>
  <c r="S31" i="11"/>
  <c r="T31" i="11" s="1"/>
  <c r="U31" i="11" s="1"/>
  <c r="S30" i="11"/>
  <c r="T30" i="11" s="1"/>
  <c r="U30" i="11" s="1"/>
  <c r="S29" i="11"/>
  <c r="T29" i="11" s="1"/>
  <c r="U29" i="11" s="1"/>
  <c r="Y28" i="11"/>
  <c r="S28" i="11"/>
  <c r="T28" i="11" s="1"/>
  <c r="U28" i="11" s="1"/>
  <c r="Y27" i="11"/>
  <c r="S27" i="11"/>
  <c r="T27" i="11" s="1"/>
  <c r="AD26" i="11"/>
  <c r="Y26" i="11"/>
  <c r="Q26" i="11"/>
  <c r="P26" i="11"/>
  <c r="G26" i="11"/>
  <c r="G48" i="11" s="1"/>
  <c r="G70" i="11" s="1"/>
  <c r="G92" i="11" s="1"/>
  <c r="F26" i="11"/>
  <c r="E26" i="11"/>
  <c r="E48" i="11" s="1"/>
  <c r="E70" i="11" s="1"/>
  <c r="E92" i="11" s="1"/>
  <c r="D26" i="11"/>
  <c r="D48" i="11" s="1"/>
  <c r="D70" i="11" s="1"/>
  <c r="D92" i="11" s="1"/>
  <c r="C26" i="11"/>
  <c r="C48" i="11" s="1"/>
  <c r="C70" i="11" s="1"/>
  <c r="C92" i="11" s="1"/>
  <c r="B26" i="11"/>
  <c r="B48" i="11" s="1"/>
  <c r="B70" i="11" s="1"/>
  <c r="B92" i="11" s="1"/>
  <c r="T9" i="11"/>
  <c r="U9" i="11" s="1"/>
  <c r="S9" i="11"/>
  <c r="T8" i="11"/>
  <c r="U8" i="11" s="1"/>
  <c r="S8" i="11"/>
  <c r="S7" i="11"/>
  <c r="T7" i="11" s="1"/>
  <c r="U7" i="11" s="1"/>
  <c r="U6" i="11"/>
  <c r="T6" i="11"/>
  <c r="S6" i="11"/>
  <c r="U5" i="11"/>
  <c r="T5" i="11"/>
  <c r="S5" i="11"/>
  <c r="Y4" i="11"/>
  <c r="Z4" i="11" s="1"/>
  <c r="X4" i="11"/>
  <c r="AD4" i="11" s="1"/>
  <c r="Q4" i="11"/>
  <c r="P4" i="11"/>
  <c r="B1" i="11"/>
  <c r="R114" i="9"/>
  <c r="K114" i="9"/>
  <c r="K115" i="9" s="1"/>
  <c r="Y92" i="9"/>
  <c r="Y114" i="9" s="1"/>
  <c r="T92" i="9"/>
  <c r="Q92" i="9"/>
  <c r="Y70" i="9"/>
  <c r="T70" i="9"/>
  <c r="Q70" i="9"/>
  <c r="S50" i="9"/>
  <c r="T49" i="9"/>
  <c r="U49" i="9" s="1"/>
  <c r="S49" i="9"/>
  <c r="T50" i="9" s="1"/>
  <c r="U50" i="9" s="1"/>
  <c r="Y48" i="9"/>
  <c r="T48" i="9"/>
  <c r="Q48" i="9"/>
  <c r="P48" i="9"/>
  <c r="E48" i="9"/>
  <c r="E70" i="9" s="1"/>
  <c r="E92" i="9" s="1"/>
  <c r="B48" i="9"/>
  <c r="B70" i="9" s="1"/>
  <c r="B92" i="9" s="1"/>
  <c r="S32" i="9"/>
  <c r="T31" i="9"/>
  <c r="U31" i="9" s="1"/>
  <c r="S31" i="9"/>
  <c r="T32" i="9" s="1"/>
  <c r="U32" i="9" s="1"/>
  <c r="T30" i="9"/>
  <c r="U30" i="9" s="1"/>
  <c r="S30" i="9"/>
  <c r="S29" i="9"/>
  <c r="Y28" i="9"/>
  <c r="S28" i="9"/>
  <c r="T28" i="9" s="1"/>
  <c r="U28" i="9" s="1"/>
  <c r="Y27" i="9"/>
  <c r="S27" i="9"/>
  <c r="T27" i="9" s="1"/>
  <c r="AD26" i="9"/>
  <c r="Y26" i="9"/>
  <c r="Q26" i="9"/>
  <c r="P26" i="9"/>
  <c r="G26" i="9"/>
  <c r="G48" i="9" s="1"/>
  <c r="G70" i="9" s="1"/>
  <c r="G92" i="9" s="1"/>
  <c r="F26" i="9"/>
  <c r="F48" i="9" s="1"/>
  <c r="F70" i="9" s="1"/>
  <c r="F92" i="9" s="1"/>
  <c r="E26" i="9"/>
  <c r="D26" i="9"/>
  <c r="D48" i="9" s="1"/>
  <c r="D70" i="9" s="1"/>
  <c r="D92" i="9" s="1"/>
  <c r="C26" i="9"/>
  <c r="C48" i="9" s="1"/>
  <c r="C70" i="9" s="1"/>
  <c r="C92" i="9" s="1"/>
  <c r="B26" i="9"/>
  <c r="S9" i="9"/>
  <c r="S8" i="9"/>
  <c r="S7" i="9"/>
  <c r="T7" i="9" s="1"/>
  <c r="U7" i="9" s="1"/>
  <c r="S6" i="9"/>
  <c r="T5" i="9"/>
  <c r="S5" i="9"/>
  <c r="T6" i="9" s="1"/>
  <c r="U6" i="9" s="1"/>
  <c r="Z4" i="9"/>
  <c r="Y4" i="9"/>
  <c r="X4" i="9"/>
  <c r="AD4" i="9" s="1"/>
  <c r="Q4" i="9"/>
  <c r="P4" i="9"/>
  <c r="B1" i="9"/>
  <c r="R114" i="5"/>
  <c r="K114" i="5"/>
  <c r="Y92" i="5"/>
  <c r="T92" i="5"/>
  <c r="Q92" i="5"/>
  <c r="Y70" i="5"/>
  <c r="Y114" i="5" s="1"/>
  <c r="T70" i="5"/>
  <c r="Q70" i="5"/>
  <c r="G70" i="5"/>
  <c r="G92" i="5" s="1"/>
  <c r="B70" i="5"/>
  <c r="B92" i="5" s="1"/>
  <c r="S50" i="5"/>
  <c r="T50" i="5" s="1"/>
  <c r="U50" i="5" s="1"/>
  <c r="T49" i="5"/>
  <c r="U49" i="5" s="1"/>
  <c r="S49" i="5"/>
  <c r="AD48" i="5"/>
  <c r="Z48" i="5"/>
  <c r="Y48" i="5"/>
  <c r="Q48" i="5"/>
  <c r="P48" i="5"/>
  <c r="D48" i="5"/>
  <c r="D70" i="5" s="1"/>
  <c r="D92" i="5" s="1"/>
  <c r="C48" i="5"/>
  <c r="C70" i="5" s="1"/>
  <c r="C92" i="5" s="1"/>
  <c r="U47" i="5"/>
  <c r="U46" i="5"/>
  <c r="U45" i="5"/>
  <c r="U44" i="5"/>
  <c r="U43" i="5"/>
  <c r="U42" i="5"/>
  <c r="U41" i="5"/>
  <c r="U40" i="5"/>
  <c r="U39" i="5"/>
  <c r="U38" i="5"/>
  <c r="U37" i="5"/>
  <c r="S36" i="5"/>
  <c r="S35" i="5"/>
  <c r="T35" i="5" s="1"/>
  <c r="U35" i="5" s="1"/>
  <c r="S34" i="5"/>
  <c r="T33" i="5"/>
  <c r="U33" i="5" s="1"/>
  <c r="S33" i="5"/>
  <c r="T34" i="5" s="1"/>
  <c r="U34" i="5" s="1"/>
  <c r="T32" i="5"/>
  <c r="U32" i="5" s="1"/>
  <c r="S32" i="5"/>
  <c r="S31" i="5"/>
  <c r="T31" i="5" s="1"/>
  <c r="U31" i="5" s="1"/>
  <c r="U30" i="5"/>
  <c r="T30" i="5"/>
  <c r="S30" i="5"/>
  <c r="S29" i="5"/>
  <c r="S28" i="5"/>
  <c r="T28" i="5" s="1"/>
  <c r="U28" i="5" s="1"/>
  <c r="S27" i="5"/>
  <c r="T27" i="5" s="1"/>
  <c r="AD26" i="5"/>
  <c r="Y26" i="5"/>
  <c r="Z26" i="5" s="1"/>
  <c r="Q26" i="5"/>
  <c r="P26" i="5"/>
  <c r="G26" i="5"/>
  <c r="G48" i="5" s="1"/>
  <c r="F26" i="5"/>
  <c r="F48" i="5" s="1"/>
  <c r="F70" i="5" s="1"/>
  <c r="F92" i="5" s="1"/>
  <c r="E26" i="5"/>
  <c r="E48" i="5" s="1"/>
  <c r="E70" i="5" s="1"/>
  <c r="E92" i="5" s="1"/>
  <c r="D26" i="5"/>
  <c r="C26" i="5"/>
  <c r="B26" i="5"/>
  <c r="B48" i="5" s="1"/>
  <c r="U6" i="5"/>
  <c r="T6" i="5"/>
  <c r="S6" i="5"/>
  <c r="U5" i="5"/>
  <c r="T5" i="5"/>
  <c r="S5" i="5"/>
  <c r="AD4" i="5"/>
  <c r="Y4" i="5"/>
  <c r="Z4" i="5" s="1"/>
  <c r="T4" i="5"/>
  <c r="Q4" i="5"/>
  <c r="P4" i="5"/>
  <c r="B1" i="5"/>
  <c r="R114" i="10"/>
  <c r="K114" i="10"/>
  <c r="K115" i="10" s="1"/>
  <c r="Y92" i="10"/>
  <c r="T92" i="10"/>
  <c r="Q92" i="10"/>
  <c r="C92" i="10"/>
  <c r="Y70" i="10"/>
  <c r="T70" i="10"/>
  <c r="Q70" i="10"/>
  <c r="D70" i="10"/>
  <c r="D92" i="10" s="1"/>
  <c r="S50" i="10"/>
  <c r="S49" i="10"/>
  <c r="Y48" i="10"/>
  <c r="Q48" i="10"/>
  <c r="G48" i="10"/>
  <c r="G70" i="10" s="1"/>
  <c r="G92" i="10" s="1"/>
  <c r="F48" i="10"/>
  <c r="F70" i="10" s="1"/>
  <c r="F92" i="10" s="1"/>
  <c r="E48" i="10"/>
  <c r="E70" i="10" s="1"/>
  <c r="E92" i="10" s="1"/>
  <c r="D48" i="10"/>
  <c r="C48" i="10"/>
  <c r="C70" i="10" s="1"/>
  <c r="B48" i="10"/>
  <c r="B70" i="10" s="1"/>
  <c r="B92" i="10" s="1"/>
  <c r="T32" i="10"/>
  <c r="U32" i="10" s="1"/>
  <c r="T31" i="10"/>
  <c r="U31" i="10" s="1"/>
  <c r="T30" i="10"/>
  <c r="U30" i="10" s="1"/>
  <c r="S28" i="10"/>
  <c r="S27" i="10"/>
  <c r="AD26" i="10"/>
  <c r="Y26" i="10"/>
  <c r="Z26" i="10" s="1"/>
  <c r="Q26" i="10"/>
  <c r="P26" i="10"/>
  <c r="S12" i="10"/>
  <c r="S11" i="10"/>
  <c r="S10" i="10"/>
  <c r="S9" i="10"/>
  <c r="S8" i="10"/>
  <c r="S7" i="10"/>
  <c r="S6" i="10"/>
  <c r="S5" i="10"/>
  <c r="X4" i="10"/>
  <c r="AD4" i="10" s="1"/>
  <c r="U4" i="10"/>
  <c r="T12" i="10" s="1"/>
  <c r="U12" i="10" s="1"/>
  <c r="Q4" i="10"/>
  <c r="P4" i="10"/>
  <c r="B1" i="10"/>
  <c r="K115" i="244"/>
  <c r="R114" i="244"/>
  <c r="Q114" i="244"/>
  <c r="K114" i="244"/>
  <c r="Y92" i="244"/>
  <c r="T92" i="244"/>
  <c r="Q92" i="244"/>
  <c r="Y70" i="244"/>
  <c r="T70" i="244"/>
  <c r="Q70" i="244"/>
  <c r="E70" i="244"/>
  <c r="E92" i="244" s="1"/>
  <c r="T50" i="244"/>
  <c r="U50" i="244" s="1"/>
  <c r="S50" i="244"/>
  <c r="T49" i="244"/>
  <c r="U49" i="244" s="1"/>
  <c r="S49" i="244"/>
  <c r="Y48" i="244"/>
  <c r="T48" i="244"/>
  <c r="Q48" i="244"/>
  <c r="C48" i="244"/>
  <c r="C70" i="244" s="1"/>
  <c r="C92" i="244" s="1"/>
  <c r="S28" i="244"/>
  <c r="S27" i="244"/>
  <c r="T27" i="244" s="1"/>
  <c r="U27" i="244" s="1"/>
  <c r="AD26" i="244"/>
  <c r="Y26" i="244"/>
  <c r="Z26" i="244" s="1"/>
  <c r="U26" i="244"/>
  <c r="Q26" i="244"/>
  <c r="P26" i="244"/>
  <c r="G26" i="244"/>
  <c r="G48" i="244" s="1"/>
  <c r="G70" i="244" s="1"/>
  <c r="G92" i="244" s="1"/>
  <c r="F26" i="244"/>
  <c r="F48" i="244" s="1"/>
  <c r="F70" i="244" s="1"/>
  <c r="F92" i="244" s="1"/>
  <c r="E26" i="244"/>
  <c r="E48" i="244" s="1"/>
  <c r="D26" i="244"/>
  <c r="D48" i="244" s="1"/>
  <c r="D70" i="244" s="1"/>
  <c r="D92" i="244" s="1"/>
  <c r="C26" i="244"/>
  <c r="B26" i="244"/>
  <c r="B48" i="244" s="1"/>
  <c r="B70" i="244" s="1"/>
  <c r="B92" i="244" s="1"/>
  <c r="S16" i="244"/>
  <c r="T16" i="244" s="1"/>
  <c r="U16" i="244" s="1"/>
  <c r="S15" i="244"/>
  <c r="T15" i="244" s="1"/>
  <c r="U15" i="244" s="1"/>
  <c r="T14" i="244"/>
  <c r="U14" i="244" s="1"/>
  <c r="S14" i="244"/>
  <c r="T13" i="244"/>
  <c r="U13" i="244" s="1"/>
  <c r="S13" i="244"/>
  <c r="T12" i="244"/>
  <c r="U12" i="244" s="1"/>
  <c r="S12" i="244"/>
  <c r="U11" i="244"/>
  <c r="S11" i="244"/>
  <c r="T11" i="244" s="1"/>
  <c r="S10" i="244"/>
  <c r="S9" i="244"/>
  <c r="S8" i="244"/>
  <c r="S7" i="244"/>
  <c r="T7" i="244" s="1"/>
  <c r="U7" i="244" s="1"/>
  <c r="T6" i="244"/>
  <c r="U6" i="244" s="1"/>
  <c r="S6" i="244"/>
  <c r="T5" i="244"/>
  <c r="U5" i="244" s="1"/>
  <c r="S5" i="244"/>
  <c r="AD4" i="244"/>
  <c r="Z4" i="244"/>
  <c r="Y4" i="244"/>
  <c r="Q4" i="244"/>
  <c r="P4" i="244"/>
  <c r="B1" i="244"/>
  <c r="K115" i="249"/>
  <c r="R114" i="249"/>
  <c r="K114" i="249"/>
  <c r="Y92" i="249"/>
  <c r="T92" i="249"/>
  <c r="Q92" i="249"/>
  <c r="G92" i="249"/>
  <c r="Y70" i="249"/>
  <c r="T70" i="249"/>
  <c r="Q70" i="249"/>
  <c r="C70" i="249"/>
  <c r="C92" i="249" s="1"/>
  <c r="T50" i="249"/>
  <c r="U50" i="249" s="1"/>
  <c r="S50" i="249"/>
  <c r="T49" i="249"/>
  <c r="S49" i="249"/>
  <c r="Y48" i="249"/>
  <c r="Q48" i="249"/>
  <c r="G48" i="249"/>
  <c r="G70" i="249" s="1"/>
  <c r="D48" i="249"/>
  <c r="D70" i="249" s="1"/>
  <c r="D92" i="249" s="1"/>
  <c r="B48" i="249"/>
  <c r="B70" i="249" s="1"/>
  <c r="B92" i="249" s="1"/>
  <c r="S32" i="249"/>
  <c r="S31" i="249"/>
  <c r="T31" i="249" s="1"/>
  <c r="U31" i="249" s="1"/>
  <c r="T30" i="249"/>
  <c r="U30" i="249" s="1"/>
  <c r="S30" i="249"/>
  <c r="S29" i="249"/>
  <c r="Y28" i="249"/>
  <c r="U28" i="249"/>
  <c r="S28" i="249"/>
  <c r="T28" i="249" s="1"/>
  <c r="Y27" i="249"/>
  <c r="T27" i="249"/>
  <c r="S27" i="249"/>
  <c r="AD26" i="249"/>
  <c r="Y26" i="249"/>
  <c r="Q26" i="249"/>
  <c r="P26" i="249"/>
  <c r="G26" i="249"/>
  <c r="F26" i="249"/>
  <c r="F48" i="249" s="1"/>
  <c r="F70" i="249" s="1"/>
  <c r="F92" i="249" s="1"/>
  <c r="E26" i="249"/>
  <c r="E48" i="249" s="1"/>
  <c r="E70" i="249" s="1"/>
  <c r="E92" i="249" s="1"/>
  <c r="D26" i="249"/>
  <c r="C26" i="249"/>
  <c r="C48" i="249" s="1"/>
  <c r="B26" i="249"/>
  <c r="U14" i="249"/>
  <c r="S14" i="249"/>
  <c r="T14" i="249" s="1"/>
  <c r="S13" i="249"/>
  <c r="S12" i="249"/>
  <c r="S11" i="249"/>
  <c r="S10" i="249"/>
  <c r="T10" i="249" s="1"/>
  <c r="U10" i="249" s="1"/>
  <c r="T9" i="249"/>
  <c r="U9" i="249" s="1"/>
  <c r="S9" i="249"/>
  <c r="T8" i="249"/>
  <c r="U8" i="249" s="1"/>
  <c r="S8" i="249"/>
  <c r="T7" i="249"/>
  <c r="U7" i="249" s="1"/>
  <c r="S7" i="249"/>
  <c r="S6" i="249"/>
  <c r="T6" i="249" s="1"/>
  <c r="U6" i="249" s="1"/>
  <c r="U5" i="249"/>
  <c r="T5" i="249"/>
  <c r="S5" i="249"/>
  <c r="AD4" i="249"/>
  <c r="Y4" i="249"/>
  <c r="Z4" i="249" s="1"/>
  <c r="X4" i="249"/>
  <c r="U4" i="249"/>
  <c r="Q4" i="249"/>
  <c r="P4" i="249"/>
  <c r="B1" i="249"/>
  <c r="R114" i="248"/>
  <c r="K114" i="248"/>
  <c r="K115" i="248" s="1"/>
  <c r="Y92" i="248"/>
  <c r="Y114" i="248" s="1"/>
  <c r="T92" i="248"/>
  <c r="Q92" i="248"/>
  <c r="Y70" i="248"/>
  <c r="T70" i="248"/>
  <c r="Q70" i="248"/>
  <c r="C70" i="248"/>
  <c r="C92" i="248" s="1"/>
  <c r="T50" i="248"/>
  <c r="S50" i="248"/>
  <c r="U49" i="248"/>
  <c r="T49" i="248"/>
  <c r="S49" i="248"/>
  <c r="Y48" i="248"/>
  <c r="Q48" i="248"/>
  <c r="G48" i="248"/>
  <c r="G70" i="248" s="1"/>
  <c r="G92" i="248" s="1"/>
  <c r="S31" i="248"/>
  <c r="T31" i="248" s="1"/>
  <c r="U31" i="248" s="1"/>
  <c r="T30" i="248"/>
  <c r="U30" i="248" s="1"/>
  <c r="S30" i="248"/>
  <c r="T29" i="248"/>
  <c r="U29" i="248" s="1"/>
  <c r="S29" i="248"/>
  <c r="T28" i="248"/>
  <c r="U28" i="248" s="1"/>
  <c r="S28" i="248"/>
  <c r="U27" i="248"/>
  <c r="T27" i="248"/>
  <c r="S27" i="248"/>
  <c r="AD26" i="248"/>
  <c r="Z26" i="248"/>
  <c r="Y26" i="248"/>
  <c r="Q26" i="248"/>
  <c r="P26" i="248"/>
  <c r="G26" i="248"/>
  <c r="F26" i="248"/>
  <c r="F48" i="248" s="1"/>
  <c r="F70" i="248" s="1"/>
  <c r="F92" i="248" s="1"/>
  <c r="E26" i="248"/>
  <c r="E48" i="248" s="1"/>
  <c r="E70" i="248" s="1"/>
  <c r="E92" i="248" s="1"/>
  <c r="D26" i="248"/>
  <c r="D48" i="248" s="1"/>
  <c r="D70" i="248" s="1"/>
  <c r="D92" i="248" s="1"/>
  <c r="C26" i="248"/>
  <c r="C48" i="248" s="1"/>
  <c r="B26" i="248"/>
  <c r="B48" i="248" s="1"/>
  <c r="B70" i="248" s="1"/>
  <c r="B92" i="248" s="1"/>
  <c r="T14" i="248"/>
  <c r="U14" i="248" s="1"/>
  <c r="S14" i="248"/>
  <c r="T13" i="248"/>
  <c r="U13" i="248" s="1"/>
  <c r="S13" i="248"/>
  <c r="T12" i="248"/>
  <c r="U12" i="248" s="1"/>
  <c r="S12" i="248"/>
  <c r="U11" i="248"/>
  <c r="T11" i="248"/>
  <c r="S11" i="248"/>
  <c r="S10" i="248"/>
  <c r="S9" i="248"/>
  <c r="S8" i="248"/>
  <c r="T8" i="248" s="1"/>
  <c r="U8" i="248" s="1"/>
  <c r="S7" i="248"/>
  <c r="T7" i="248" s="1"/>
  <c r="U7" i="248" s="1"/>
  <c r="T6" i="248"/>
  <c r="U6" i="248" s="1"/>
  <c r="S6" i="248"/>
  <c r="T5" i="248"/>
  <c r="U5" i="248" s="1"/>
  <c r="S5" i="248"/>
  <c r="AD4" i="248"/>
  <c r="Z4" i="248"/>
  <c r="Y4" i="248"/>
  <c r="Q4" i="248"/>
  <c r="P4" i="248"/>
  <c r="B1" i="248"/>
  <c r="K115" i="247"/>
  <c r="R114" i="247"/>
  <c r="K114" i="247"/>
  <c r="AD92" i="247"/>
  <c r="Y92" i="247"/>
  <c r="X92" i="247"/>
  <c r="T92" i="247"/>
  <c r="Q92" i="247"/>
  <c r="AD70" i="247"/>
  <c r="X70" i="247"/>
  <c r="Y70" i="247" s="1"/>
  <c r="T70" i="247"/>
  <c r="Q70" i="247"/>
  <c r="S50" i="247"/>
  <c r="S49" i="247"/>
  <c r="T49" i="247" s="1"/>
  <c r="X48" i="247"/>
  <c r="Q48" i="247"/>
  <c r="P48" i="247"/>
  <c r="F48" i="247"/>
  <c r="F70" i="247" s="1"/>
  <c r="F92" i="247" s="1"/>
  <c r="S32" i="247"/>
  <c r="S31" i="247"/>
  <c r="T32" i="247" s="1"/>
  <c r="U32" i="247" s="1"/>
  <c r="S30" i="247"/>
  <c r="T30" i="247" s="1"/>
  <c r="U30" i="247" s="1"/>
  <c r="S29" i="247"/>
  <c r="T29" i="247" s="1"/>
  <c r="U29" i="247" s="1"/>
  <c r="S28" i="247"/>
  <c r="Y27" i="247"/>
  <c r="S27" i="247"/>
  <c r="T27" i="247" s="1"/>
  <c r="X26" i="247"/>
  <c r="Q26" i="247"/>
  <c r="P26" i="247"/>
  <c r="G26" i="247"/>
  <c r="G48" i="247" s="1"/>
  <c r="G70" i="247" s="1"/>
  <c r="G92" i="247" s="1"/>
  <c r="F26" i="247"/>
  <c r="E26" i="247"/>
  <c r="E48" i="247" s="1"/>
  <c r="E70" i="247" s="1"/>
  <c r="E92" i="247" s="1"/>
  <c r="D26" i="247"/>
  <c r="D48" i="247" s="1"/>
  <c r="D70" i="247" s="1"/>
  <c r="D92" i="247" s="1"/>
  <c r="C26" i="247"/>
  <c r="C48" i="247" s="1"/>
  <c r="C70" i="247" s="1"/>
  <c r="C92" i="247" s="1"/>
  <c r="B26" i="247"/>
  <c r="B48" i="247" s="1"/>
  <c r="B70" i="247" s="1"/>
  <c r="B92" i="247" s="1"/>
  <c r="U11" i="247"/>
  <c r="S11" i="247"/>
  <c r="S10" i="247"/>
  <c r="T11" i="247" s="1"/>
  <c r="S9" i="247"/>
  <c r="S8" i="247"/>
  <c r="T8" i="247" s="1"/>
  <c r="U8" i="247" s="1"/>
  <c r="S7" i="247"/>
  <c r="T7" i="247" s="1"/>
  <c r="U7" i="247" s="1"/>
  <c r="T6" i="247"/>
  <c r="U6" i="247" s="1"/>
  <c r="S6" i="247"/>
  <c r="T5" i="247"/>
  <c r="S5" i="247"/>
  <c r="X4" i="247"/>
  <c r="Q4" i="247"/>
  <c r="P4" i="247"/>
  <c r="B1" i="247"/>
  <c r="Y114" i="246"/>
  <c r="R114" i="246"/>
  <c r="K114" i="246"/>
  <c r="K115" i="246" s="1"/>
  <c r="AD92" i="246"/>
  <c r="Y92" i="246"/>
  <c r="T92" i="246"/>
  <c r="Q92" i="246"/>
  <c r="D92" i="246"/>
  <c r="AD70" i="246"/>
  <c r="Y70" i="246"/>
  <c r="T70" i="246"/>
  <c r="Q70" i="246"/>
  <c r="F70" i="246"/>
  <c r="F92" i="246" s="1"/>
  <c r="T50" i="246"/>
  <c r="S50" i="246"/>
  <c r="U49" i="246"/>
  <c r="T49" i="246"/>
  <c r="S49" i="246"/>
  <c r="AD48" i="246"/>
  <c r="Y48" i="246"/>
  <c r="Q48" i="246"/>
  <c r="P48" i="246"/>
  <c r="G48" i="246"/>
  <c r="G70" i="246" s="1"/>
  <c r="G92" i="246" s="1"/>
  <c r="D48" i="246"/>
  <c r="D70" i="246" s="1"/>
  <c r="S32" i="246"/>
  <c r="S31" i="246"/>
  <c r="T31" i="246" s="1"/>
  <c r="U31" i="246" s="1"/>
  <c r="S30" i="246"/>
  <c r="T30" i="246" s="1"/>
  <c r="U30" i="246" s="1"/>
  <c r="T29" i="246"/>
  <c r="U29" i="246" s="1"/>
  <c r="S29" i="246"/>
  <c r="Y28" i="246"/>
  <c r="U28" i="246"/>
  <c r="S28" i="246"/>
  <c r="T28" i="246" s="1"/>
  <c r="Y27" i="246"/>
  <c r="T27" i="246"/>
  <c r="S27" i="246"/>
  <c r="AD26" i="246"/>
  <c r="Y26" i="246"/>
  <c r="Q26" i="246"/>
  <c r="P26" i="246"/>
  <c r="G26" i="246"/>
  <c r="F26" i="246"/>
  <c r="F48" i="246" s="1"/>
  <c r="E26" i="246"/>
  <c r="E48" i="246" s="1"/>
  <c r="E70" i="246" s="1"/>
  <c r="E92" i="246" s="1"/>
  <c r="D26" i="246"/>
  <c r="C26" i="246"/>
  <c r="C48" i="246" s="1"/>
  <c r="C70" i="246" s="1"/>
  <c r="C92" i="246" s="1"/>
  <c r="B26" i="246"/>
  <c r="B48" i="246" s="1"/>
  <c r="B70" i="246" s="1"/>
  <c r="B92" i="246" s="1"/>
  <c r="T16" i="246"/>
  <c r="U16" i="246" s="1"/>
  <c r="S16" i="246"/>
  <c r="S15" i="246"/>
  <c r="S14" i="246"/>
  <c r="T15" i="246" s="1"/>
  <c r="U15" i="246" s="1"/>
  <c r="S13" i="246"/>
  <c r="S12" i="246"/>
  <c r="T12" i="246" s="1"/>
  <c r="U12" i="246" s="1"/>
  <c r="S11" i="246"/>
  <c r="T11" i="246" s="1"/>
  <c r="U11" i="246" s="1"/>
  <c r="T10" i="246"/>
  <c r="U10" i="246" s="1"/>
  <c r="S10" i="246"/>
  <c r="T9" i="246"/>
  <c r="U9" i="246" s="1"/>
  <c r="S9" i="246"/>
  <c r="T8" i="246"/>
  <c r="U8" i="246" s="1"/>
  <c r="S8" i="246"/>
  <c r="U7" i="246"/>
  <c r="S7" i="246"/>
  <c r="T7" i="246" s="1"/>
  <c r="S6" i="246"/>
  <c r="U5" i="246"/>
  <c r="S5" i="246"/>
  <c r="T5" i="246" s="1"/>
  <c r="AD4" i="246"/>
  <c r="Y4" i="246"/>
  <c r="Z4" i="246" s="1"/>
  <c r="Q4" i="246"/>
  <c r="P4" i="246"/>
  <c r="B1" i="246"/>
  <c r="R114" i="15"/>
  <c r="K114" i="15"/>
  <c r="K115" i="15" s="1"/>
  <c r="Y92" i="15"/>
  <c r="Y114" i="15" s="1"/>
  <c r="T92" i="15"/>
  <c r="Q92" i="15"/>
  <c r="Y70" i="15"/>
  <c r="T70" i="15"/>
  <c r="Q70" i="15"/>
  <c r="G70" i="15"/>
  <c r="G92" i="15" s="1"/>
  <c r="B70" i="15"/>
  <c r="B92" i="15" s="1"/>
  <c r="S50" i="15"/>
  <c r="S49" i="15"/>
  <c r="T49" i="15" s="1"/>
  <c r="Y48" i="15"/>
  <c r="Q48" i="15"/>
  <c r="F48" i="15"/>
  <c r="F70" i="15" s="1"/>
  <c r="F92" i="15" s="1"/>
  <c r="B48" i="15"/>
  <c r="U37" i="15"/>
  <c r="S36" i="15"/>
  <c r="S35" i="15"/>
  <c r="T35" i="15" s="1"/>
  <c r="U35" i="15" s="1"/>
  <c r="S34" i="15"/>
  <c r="T34" i="15" s="1"/>
  <c r="U34" i="15" s="1"/>
  <c r="T33" i="15"/>
  <c r="U33" i="15" s="1"/>
  <c r="S33" i="15"/>
  <c r="T32" i="15"/>
  <c r="U32" i="15" s="1"/>
  <c r="S32" i="15"/>
  <c r="T31" i="15"/>
  <c r="U31" i="15" s="1"/>
  <c r="S31" i="15"/>
  <c r="U30" i="15"/>
  <c r="S30" i="15"/>
  <c r="T30" i="15" s="1"/>
  <c r="U29" i="15"/>
  <c r="S29" i="15"/>
  <c r="T29" i="15" s="1"/>
  <c r="Y28" i="15"/>
  <c r="T28" i="15"/>
  <c r="U28" i="15" s="1"/>
  <c r="S28" i="15"/>
  <c r="Y27" i="15"/>
  <c r="U27" i="15"/>
  <c r="S27" i="15"/>
  <c r="T27" i="15" s="1"/>
  <c r="AD26" i="15"/>
  <c r="Y26" i="15"/>
  <c r="Z26" i="15" s="1"/>
  <c r="Q26" i="15"/>
  <c r="P26" i="15"/>
  <c r="G26" i="15"/>
  <c r="G48" i="15" s="1"/>
  <c r="F26" i="15"/>
  <c r="E26" i="15"/>
  <c r="E48" i="15" s="1"/>
  <c r="E70" i="15" s="1"/>
  <c r="E92" i="15" s="1"/>
  <c r="D26" i="15"/>
  <c r="D48" i="15" s="1"/>
  <c r="D70" i="15" s="1"/>
  <c r="D92" i="15" s="1"/>
  <c r="C26" i="15"/>
  <c r="C48" i="15" s="1"/>
  <c r="C70" i="15" s="1"/>
  <c r="C92" i="15" s="1"/>
  <c r="B26" i="15"/>
  <c r="T18" i="15"/>
  <c r="U18" i="15" s="1"/>
  <c r="S18" i="15"/>
  <c r="T17" i="15"/>
  <c r="U17" i="15" s="1"/>
  <c r="S17" i="15"/>
  <c r="U16" i="15"/>
  <c r="S16" i="15"/>
  <c r="T16" i="15" s="1"/>
  <c r="S15" i="15"/>
  <c r="U14" i="15"/>
  <c r="S14" i="15"/>
  <c r="T14" i="15" s="1"/>
  <c r="S13" i="15"/>
  <c r="S12" i="15"/>
  <c r="T12" i="15" s="1"/>
  <c r="U12" i="15" s="1"/>
  <c r="T11" i="15"/>
  <c r="U11" i="15" s="1"/>
  <c r="S11" i="15"/>
  <c r="T10" i="15"/>
  <c r="U10" i="15" s="1"/>
  <c r="S10" i="15"/>
  <c r="T9" i="15"/>
  <c r="U9" i="15" s="1"/>
  <c r="S9" i="15"/>
  <c r="S8" i="15"/>
  <c r="T8" i="15" s="1"/>
  <c r="U8" i="15" s="1"/>
  <c r="U7" i="15"/>
  <c r="S7" i="15"/>
  <c r="T7" i="15" s="1"/>
  <c r="U6" i="15"/>
  <c r="S6" i="15"/>
  <c r="T6" i="15" s="1"/>
  <c r="Y5" i="15"/>
  <c r="T5" i="15"/>
  <c r="U5" i="15" s="1"/>
  <c r="S5" i="15"/>
  <c r="AD4" i="15"/>
  <c r="Z4" i="15"/>
  <c r="Y4" i="15"/>
  <c r="Q4" i="15"/>
  <c r="P4" i="15"/>
  <c r="B1" i="15"/>
  <c r="G64" i="114"/>
  <c r="G63" i="114"/>
  <c r="G62" i="114"/>
  <c r="G61" i="114"/>
  <c r="G60" i="114"/>
  <c r="G59" i="114"/>
  <c r="G58" i="114"/>
  <c r="G57" i="114"/>
  <c r="G56" i="114"/>
  <c r="G55" i="114"/>
  <c r="G54" i="114"/>
  <c r="G53" i="114"/>
  <c r="G52" i="114"/>
  <c r="G51" i="114"/>
  <c r="G50" i="114"/>
  <c r="G49" i="114"/>
  <c r="G48" i="114"/>
  <c r="G47" i="114"/>
  <c r="G46" i="114"/>
  <c r="G45" i="114"/>
  <c r="G44" i="114"/>
  <c r="G43" i="114"/>
  <c r="G42" i="114"/>
  <c r="G41" i="114"/>
  <c r="G40" i="114"/>
  <c r="G39" i="114"/>
  <c r="G38" i="114"/>
  <c r="G37" i="114"/>
  <c r="G36" i="114"/>
  <c r="G35" i="114"/>
  <c r="G34" i="114"/>
  <c r="G33" i="114"/>
  <c r="G32" i="114"/>
  <c r="G31" i="114"/>
  <c r="G30" i="114"/>
  <c r="G29" i="114"/>
  <c r="G28" i="114"/>
  <c r="G27" i="114"/>
  <c r="G26" i="114"/>
  <c r="G25" i="114"/>
  <c r="G24" i="114"/>
  <c r="G23" i="114"/>
  <c r="G22" i="114"/>
  <c r="G21" i="114"/>
  <c r="G20" i="114"/>
  <c r="G19" i="114"/>
  <c r="G18" i="114"/>
  <c r="G17" i="114"/>
  <c r="G16" i="114"/>
  <c r="G15" i="114"/>
  <c r="G14" i="114"/>
  <c r="G13" i="114"/>
  <c r="G12" i="114"/>
  <c r="G11" i="114"/>
  <c r="G10" i="114"/>
  <c r="G9" i="114"/>
  <c r="G8" i="114"/>
  <c r="G7" i="114"/>
  <c r="G6" i="114"/>
  <c r="G5" i="114"/>
  <c r="G4" i="114"/>
  <c r="R114" i="14"/>
  <c r="K114" i="14"/>
  <c r="K115" i="14" s="1"/>
  <c r="Y92" i="14"/>
  <c r="T92" i="14"/>
  <c r="Q92" i="14"/>
  <c r="E92" i="14"/>
  <c r="B92" i="14"/>
  <c r="Y70" i="14"/>
  <c r="T70" i="14"/>
  <c r="Q70" i="14"/>
  <c r="C70" i="14"/>
  <c r="C92" i="14" s="1"/>
  <c r="U50" i="14"/>
  <c r="S50" i="14"/>
  <c r="S49" i="14"/>
  <c r="T50" i="14" s="1"/>
  <c r="Y48" i="14"/>
  <c r="Y114" i="14" s="1"/>
  <c r="Q48" i="14"/>
  <c r="E48" i="14"/>
  <c r="E70" i="14" s="1"/>
  <c r="B48" i="14"/>
  <c r="B70" i="14" s="1"/>
  <c r="T32" i="14"/>
  <c r="U32" i="14" s="1"/>
  <c r="S32" i="14"/>
  <c r="T31" i="14"/>
  <c r="U31" i="14" s="1"/>
  <c r="S31" i="14"/>
  <c r="T30" i="14"/>
  <c r="U30" i="14" s="1"/>
  <c r="S30" i="14"/>
  <c r="S29" i="14"/>
  <c r="Y28" i="14"/>
  <c r="S28" i="14"/>
  <c r="T28" i="14" s="1"/>
  <c r="Y27" i="14"/>
  <c r="U27" i="14"/>
  <c r="T27" i="14"/>
  <c r="S27" i="14"/>
  <c r="AD26" i="14"/>
  <c r="Y26" i="14"/>
  <c r="Q26" i="14"/>
  <c r="P26" i="14"/>
  <c r="G26" i="14"/>
  <c r="G48" i="14" s="1"/>
  <c r="G70" i="14" s="1"/>
  <c r="G92" i="14" s="1"/>
  <c r="F26" i="14"/>
  <c r="F48" i="14" s="1"/>
  <c r="F70" i="14" s="1"/>
  <c r="F92" i="14" s="1"/>
  <c r="E26" i="14"/>
  <c r="D26" i="14"/>
  <c r="D48" i="14" s="1"/>
  <c r="D70" i="14" s="1"/>
  <c r="D92" i="14" s="1"/>
  <c r="C26" i="14"/>
  <c r="C48" i="14" s="1"/>
  <c r="B26" i="14"/>
  <c r="U7" i="14"/>
  <c r="S7" i="14"/>
  <c r="T7" i="14" s="1"/>
  <c r="S6" i="14"/>
  <c r="T6" i="14" s="1"/>
  <c r="U6" i="14" s="1"/>
  <c r="S5" i="14"/>
  <c r="T5" i="14" s="1"/>
  <c r="Y4" i="14"/>
  <c r="Z4" i="14" s="1"/>
  <c r="X4" i="14"/>
  <c r="Q4" i="14"/>
  <c r="P4" i="14"/>
  <c r="B1" i="14"/>
  <c r="K115" i="93"/>
  <c r="R114" i="93"/>
  <c r="K114" i="93"/>
  <c r="Y92" i="93"/>
  <c r="T92" i="93"/>
  <c r="Q92" i="93"/>
  <c r="D92" i="93"/>
  <c r="Y70" i="93"/>
  <c r="T70" i="93"/>
  <c r="Q70" i="93"/>
  <c r="G70" i="93"/>
  <c r="G92" i="93" s="1"/>
  <c r="S50" i="93"/>
  <c r="T50" i="93" s="1"/>
  <c r="U50" i="93" s="1"/>
  <c r="T49" i="93"/>
  <c r="U49" i="93" s="1"/>
  <c r="S49" i="93"/>
  <c r="Y48" i="93"/>
  <c r="Q48" i="93"/>
  <c r="G48" i="93"/>
  <c r="D48" i="93"/>
  <c r="D70" i="93" s="1"/>
  <c r="U37" i="93"/>
  <c r="S36" i="93"/>
  <c r="T36" i="93" s="1"/>
  <c r="U36" i="93" s="1"/>
  <c r="T35" i="93"/>
  <c r="U35" i="93" s="1"/>
  <c r="S35" i="93"/>
  <c r="T34" i="93"/>
  <c r="U34" i="93" s="1"/>
  <c r="S34" i="93"/>
  <c r="T33" i="93"/>
  <c r="U33" i="93" s="1"/>
  <c r="S33" i="93"/>
  <c r="U32" i="93"/>
  <c r="S32" i="93"/>
  <c r="T32" i="93" s="1"/>
  <c r="S31" i="93"/>
  <c r="U30" i="93"/>
  <c r="S30" i="93"/>
  <c r="T30" i="93" s="1"/>
  <c r="S29" i="93"/>
  <c r="T29" i="93" s="1"/>
  <c r="U29" i="93" s="1"/>
  <c r="Y28" i="93"/>
  <c r="T28" i="93"/>
  <c r="U28" i="93" s="1"/>
  <c r="S28" i="93"/>
  <c r="Y27" i="93"/>
  <c r="S27" i="93"/>
  <c r="T27" i="93" s="1"/>
  <c r="AD26" i="93"/>
  <c r="Y26" i="93"/>
  <c r="Z26" i="93" s="1"/>
  <c r="Q26" i="93"/>
  <c r="P26" i="93"/>
  <c r="G26" i="93"/>
  <c r="F26" i="93"/>
  <c r="F48" i="93" s="1"/>
  <c r="F70" i="93" s="1"/>
  <c r="F92" i="93" s="1"/>
  <c r="E26" i="93"/>
  <c r="E48" i="93" s="1"/>
  <c r="E70" i="93" s="1"/>
  <c r="E92" i="93" s="1"/>
  <c r="D26" i="93"/>
  <c r="C26" i="93"/>
  <c r="C48" i="93" s="1"/>
  <c r="C70" i="93" s="1"/>
  <c r="C92" i="93" s="1"/>
  <c r="B26" i="93"/>
  <c r="B48" i="93" s="1"/>
  <c r="B70" i="93" s="1"/>
  <c r="B92" i="93" s="1"/>
  <c r="S7" i="93"/>
  <c r="Q7" i="93"/>
  <c r="S6" i="93"/>
  <c r="T6" i="93" s="1"/>
  <c r="U6" i="93" s="1"/>
  <c r="Q6" i="93"/>
  <c r="Y5" i="93"/>
  <c r="S5" i="93"/>
  <c r="T5" i="93" s="1"/>
  <c r="U5" i="93" s="1"/>
  <c r="Q5" i="93"/>
  <c r="AD4" i="93"/>
  <c r="Z4" i="93"/>
  <c r="Y4" i="93"/>
  <c r="P4" i="93"/>
  <c r="B1" i="93"/>
  <c r="K115" i="73"/>
  <c r="R114" i="73"/>
  <c r="K114" i="73"/>
  <c r="Y92" i="73"/>
  <c r="T92" i="73"/>
  <c r="Q92" i="73"/>
  <c r="Y70" i="73"/>
  <c r="T70" i="73"/>
  <c r="Q70" i="73"/>
  <c r="G70" i="73"/>
  <c r="G92" i="73" s="1"/>
  <c r="E70" i="73"/>
  <c r="E92" i="73" s="1"/>
  <c r="T50" i="73"/>
  <c r="U50" i="73" s="1"/>
  <c r="S50" i="73"/>
  <c r="T49" i="73"/>
  <c r="S49" i="73"/>
  <c r="Y48" i="73"/>
  <c r="Q48" i="73"/>
  <c r="G48" i="73"/>
  <c r="F48" i="73"/>
  <c r="F70" i="73" s="1"/>
  <c r="F92" i="73" s="1"/>
  <c r="E48" i="73"/>
  <c r="U37" i="73"/>
  <c r="T36" i="73"/>
  <c r="U36" i="73" s="1"/>
  <c r="S36" i="73"/>
  <c r="U35" i="73"/>
  <c r="T35" i="73"/>
  <c r="S35" i="73"/>
  <c r="S34" i="73"/>
  <c r="T33" i="73"/>
  <c r="U33" i="73" s="1"/>
  <c r="S33" i="73"/>
  <c r="T34" i="73" s="1"/>
  <c r="U34" i="73" s="1"/>
  <c r="S32" i="73"/>
  <c r="S31" i="73"/>
  <c r="T31" i="73" s="1"/>
  <c r="U31" i="73" s="1"/>
  <c r="S30" i="73"/>
  <c r="T30" i="73" s="1"/>
  <c r="U30" i="73" s="1"/>
  <c r="T29" i="73"/>
  <c r="U29" i="73" s="1"/>
  <c r="S29" i="73"/>
  <c r="Y28" i="73"/>
  <c r="T28" i="73"/>
  <c r="U28" i="73" s="1"/>
  <c r="S28" i="73"/>
  <c r="Y27" i="73"/>
  <c r="T27" i="73"/>
  <c r="U27" i="73" s="1"/>
  <c r="S27" i="73"/>
  <c r="AD26" i="73"/>
  <c r="Z26" i="73"/>
  <c r="Y26" i="73"/>
  <c r="Q26" i="73"/>
  <c r="P26" i="73"/>
  <c r="G26" i="73"/>
  <c r="F26" i="73"/>
  <c r="E26" i="73"/>
  <c r="D26" i="73"/>
  <c r="D48" i="73" s="1"/>
  <c r="D70" i="73" s="1"/>
  <c r="D92" i="73" s="1"/>
  <c r="C26" i="73"/>
  <c r="C48" i="73" s="1"/>
  <c r="C70" i="73" s="1"/>
  <c r="C92" i="73" s="1"/>
  <c r="B26" i="73"/>
  <c r="B48" i="73" s="1"/>
  <c r="B70" i="73" s="1"/>
  <c r="B92" i="73" s="1"/>
  <c r="S16" i="73"/>
  <c r="S15" i="73"/>
  <c r="U14" i="73"/>
  <c r="T14" i="73"/>
  <c r="S14" i="73"/>
  <c r="T13" i="73"/>
  <c r="U13" i="73" s="1"/>
  <c r="S13" i="73"/>
  <c r="T12" i="73"/>
  <c r="U12" i="73" s="1"/>
  <c r="S12" i="73"/>
  <c r="T11" i="73"/>
  <c r="U11" i="73" s="1"/>
  <c r="S11" i="73"/>
  <c r="U10" i="73"/>
  <c r="S10" i="73"/>
  <c r="T10" i="73" s="1"/>
  <c r="S9" i="73"/>
  <c r="S8" i="73"/>
  <c r="T8" i="73" s="1"/>
  <c r="U8" i="73" s="1"/>
  <c r="S7" i="73"/>
  <c r="T7" i="73" s="1"/>
  <c r="U7" i="73" s="1"/>
  <c r="S6" i="73"/>
  <c r="T6" i="73" s="1"/>
  <c r="U6" i="73" s="1"/>
  <c r="Y5" i="73"/>
  <c r="S5" i="73"/>
  <c r="T5" i="73" s="1"/>
  <c r="AD4" i="73"/>
  <c r="Z4" i="73"/>
  <c r="Y4" i="73"/>
  <c r="Q4" i="73"/>
  <c r="P4" i="73"/>
  <c r="B1" i="73"/>
  <c r="R114" i="70"/>
  <c r="K114" i="70"/>
  <c r="K115" i="70" s="1"/>
  <c r="Y92" i="70"/>
  <c r="Y114" i="70" s="1"/>
  <c r="T92" i="70"/>
  <c r="Q92" i="70"/>
  <c r="B92" i="70"/>
  <c r="Y70" i="70"/>
  <c r="T70" i="70"/>
  <c r="Q70" i="70"/>
  <c r="F70" i="70"/>
  <c r="F92" i="70" s="1"/>
  <c r="U50" i="70"/>
  <c r="S50" i="70"/>
  <c r="S49" i="70"/>
  <c r="T50" i="70" s="1"/>
  <c r="Y48" i="70"/>
  <c r="Q48" i="70"/>
  <c r="D48" i="70"/>
  <c r="D70" i="70" s="1"/>
  <c r="D92" i="70" s="1"/>
  <c r="C48" i="70"/>
  <c r="C70" i="70" s="1"/>
  <c r="C92" i="70" s="1"/>
  <c r="B48" i="70"/>
  <c r="B70" i="70" s="1"/>
  <c r="U37" i="70"/>
  <c r="Y28" i="70"/>
  <c r="Y27" i="70"/>
  <c r="S27" i="70"/>
  <c r="T27" i="70" s="1"/>
  <c r="AD26" i="70"/>
  <c r="Z26" i="70"/>
  <c r="Y26" i="70"/>
  <c r="Q26" i="70"/>
  <c r="P26" i="70"/>
  <c r="G26" i="70"/>
  <c r="G48" i="70" s="1"/>
  <c r="G70" i="70" s="1"/>
  <c r="G92" i="70" s="1"/>
  <c r="F26" i="70"/>
  <c r="F48" i="70" s="1"/>
  <c r="E26" i="70"/>
  <c r="E48" i="70" s="1"/>
  <c r="E70" i="70" s="1"/>
  <c r="E92" i="70" s="1"/>
  <c r="D26" i="70"/>
  <c r="C26" i="70"/>
  <c r="B26" i="70"/>
  <c r="Y5" i="70"/>
  <c r="T5" i="70"/>
  <c r="U5" i="70" s="1"/>
  <c r="S5" i="70"/>
  <c r="AD4" i="70"/>
  <c r="Z4" i="70"/>
  <c r="Y4" i="70"/>
  <c r="T4" i="70"/>
  <c r="Q4" i="70"/>
  <c r="P4" i="70"/>
  <c r="B1" i="70"/>
  <c r="K115" i="54"/>
  <c r="R114" i="54"/>
  <c r="K114" i="54"/>
  <c r="Y92" i="54"/>
  <c r="Y114" i="54" s="1"/>
  <c r="T92" i="54"/>
  <c r="Q92" i="54"/>
  <c r="B92" i="54"/>
  <c r="Y70" i="54"/>
  <c r="T70" i="54"/>
  <c r="Q70" i="54"/>
  <c r="C70" i="54"/>
  <c r="C92" i="54" s="1"/>
  <c r="T50" i="54"/>
  <c r="U50" i="54" s="1"/>
  <c r="S50" i="54"/>
  <c r="T49" i="54"/>
  <c r="S49" i="54"/>
  <c r="Y48" i="54"/>
  <c r="Q48" i="54"/>
  <c r="G48" i="54"/>
  <c r="G70" i="54" s="1"/>
  <c r="G92" i="54" s="1"/>
  <c r="B48" i="54"/>
  <c r="B70" i="54" s="1"/>
  <c r="S32" i="54"/>
  <c r="S31" i="54"/>
  <c r="T31" i="54" s="1"/>
  <c r="U31" i="54" s="1"/>
  <c r="T30" i="54"/>
  <c r="U30" i="54" s="1"/>
  <c r="S30" i="54"/>
  <c r="S29" i="54"/>
  <c r="T29" i="54" s="1"/>
  <c r="U29" i="54" s="1"/>
  <c r="Y28" i="54"/>
  <c r="S28" i="54"/>
  <c r="Y27" i="54"/>
  <c r="T27" i="54"/>
  <c r="S27" i="54"/>
  <c r="AD26" i="54"/>
  <c r="Y26" i="54"/>
  <c r="Q26" i="54"/>
  <c r="P26" i="54"/>
  <c r="G26" i="54"/>
  <c r="F26" i="54"/>
  <c r="F48" i="54" s="1"/>
  <c r="F70" i="54" s="1"/>
  <c r="F92" i="54" s="1"/>
  <c r="E26" i="54"/>
  <c r="E48" i="54" s="1"/>
  <c r="E70" i="54" s="1"/>
  <c r="E92" i="54" s="1"/>
  <c r="D26" i="54"/>
  <c r="D48" i="54" s="1"/>
  <c r="D70" i="54" s="1"/>
  <c r="D92" i="54" s="1"/>
  <c r="C26" i="54"/>
  <c r="C48" i="54" s="1"/>
  <c r="B26" i="54"/>
  <c r="S12" i="54"/>
  <c r="T11" i="54"/>
  <c r="U11" i="54" s="1"/>
  <c r="S11" i="54"/>
  <c r="T12" i="54" s="1"/>
  <c r="U12" i="54" s="1"/>
  <c r="S10" i="54"/>
  <c r="S9" i="54"/>
  <c r="T9" i="54" s="1"/>
  <c r="U9" i="54" s="1"/>
  <c r="S8" i="54"/>
  <c r="T8" i="54" s="1"/>
  <c r="U8" i="54" s="1"/>
  <c r="T7" i="54"/>
  <c r="U7" i="54" s="1"/>
  <c r="S7" i="54"/>
  <c r="T6" i="54"/>
  <c r="U6" i="54" s="1"/>
  <c r="S6" i="54"/>
  <c r="Y5" i="54"/>
  <c r="U5" i="54"/>
  <c r="S5" i="54"/>
  <c r="T5" i="54" s="1"/>
  <c r="AD4" i="54"/>
  <c r="Y4" i="54"/>
  <c r="Z4" i="54" s="1"/>
  <c r="Q4" i="54"/>
  <c r="P4" i="54"/>
  <c r="B1" i="54"/>
  <c r="R114" i="60"/>
  <c r="K114" i="60"/>
  <c r="K115" i="60" s="1"/>
  <c r="Y92" i="60"/>
  <c r="T92" i="60"/>
  <c r="Q92" i="60"/>
  <c r="Y70" i="60"/>
  <c r="T70" i="60"/>
  <c r="Q70" i="60"/>
  <c r="G70" i="60"/>
  <c r="G92" i="60" s="1"/>
  <c r="D70" i="60"/>
  <c r="D92" i="60" s="1"/>
  <c r="B70" i="60"/>
  <c r="B92" i="60" s="1"/>
  <c r="S50" i="60"/>
  <c r="S49" i="60"/>
  <c r="T49" i="60" s="1"/>
  <c r="U49" i="60" s="1"/>
  <c r="Y48" i="60"/>
  <c r="Q48" i="60"/>
  <c r="B48" i="60"/>
  <c r="U37" i="60"/>
  <c r="S36" i="60"/>
  <c r="T36" i="60" s="1"/>
  <c r="U36" i="60" s="1"/>
  <c r="S35" i="60"/>
  <c r="T35" i="60" s="1"/>
  <c r="U35" i="60" s="1"/>
  <c r="S34" i="60"/>
  <c r="T34" i="60" s="1"/>
  <c r="U34" i="60" s="1"/>
  <c r="S33" i="60"/>
  <c r="S32" i="60"/>
  <c r="T33" i="60" s="1"/>
  <c r="U33" i="60" s="1"/>
  <c r="U31" i="60"/>
  <c r="T31" i="60"/>
  <c r="S31" i="60"/>
  <c r="S30" i="60"/>
  <c r="S29" i="60"/>
  <c r="T30" i="60" s="1"/>
  <c r="U30" i="60" s="1"/>
  <c r="Y28" i="60"/>
  <c r="T28" i="60"/>
  <c r="U28" i="60" s="1"/>
  <c r="S28" i="60"/>
  <c r="Y27" i="60"/>
  <c r="S27" i="60"/>
  <c r="T27" i="60" s="1"/>
  <c r="AD26" i="60"/>
  <c r="Y26" i="60"/>
  <c r="Z26" i="60" s="1"/>
  <c r="Q26" i="60"/>
  <c r="P26" i="60"/>
  <c r="G26" i="60"/>
  <c r="G48" i="60" s="1"/>
  <c r="F26" i="60"/>
  <c r="F48" i="60" s="1"/>
  <c r="F70" i="60" s="1"/>
  <c r="F92" i="60" s="1"/>
  <c r="E26" i="60"/>
  <c r="E48" i="60" s="1"/>
  <c r="E70" i="60" s="1"/>
  <c r="E92" i="60" s="1"/>
  <c r="D26" i="60"/>
  <c r="D48" i="60" s="1"/>
  <c r="C26" i="60"/>
  <c r="C48" i="60" s="1"/>
  <c r="C70" i="60" s="1"/>
  <c r="C92" i="60" s="1"/>
  <c r="B26" i="60"/>
  <c r="T14" i="60"/>
  <c r="U14" i="60" s="1"/>
  <c r="S14" i="60"/>
  <c r="U13" i="60"/>
  <c r="T13" i="60"/>
  <c r="S13" i="60"/>
  <c r="S12" i="60"/>
  <c r="T12" i="60" s="1"/>
  <c r="U12" i="60" s="1"/>
  <c r="U11" i="60"/>
  <c r="T11" i="60"/>
  <c r="S11" i="60"/>
  <c r="U10" i="60"/>
  <c r="S10" i="60"/>
  <c r="T10" i="60" s="1"/>
  <c r="S9" i="60"/>
  <c r="T8" i="60"/>
  <c r="U8" i="60" s="1"/>
  <c r="S8" i="60"/>
  <c r="T7" i="60"/>
  <c r="U7" i="60" s="1"/>
  <c r="S7" i="60"/>
  <c r="S6" i="60"/>
  <c r="Y5" i="60"/>
  <c r="S5" i="60"/>
  <c r="T5" i="60" s="1"/>
  <c r="AD4" i="60"/>
  <c r="Y4" i="60"/>
  <c r="Z4" i="60" s="1"/>
  <c r="Q4" i="60"/>
  <c r="P4" i="60"/>
  <c r="B1" i="60"/>
  <c r="R114" i="59"/>
  <c r="K114" i="59"/>
  <c r="K115" i="59" s="1"/>
  <c r="Y92" i="59"/>
  <c r="T92" i="59"/>
  <c r="Q92" i="59"/>
  <c r="Y70" i="59"/>
  <c r="T70" i="59"/>
  <c r="Q70" i="59"/>
  <c r="T50" i="59"/>
  <c r="U50" i="59" s="1"/>
  <c r="S50" i="59"/>
  <c r="T49" i="59"/>
  <c r="U49" i="59" s="1"/>
  <c r="S49" i="59"/>
  <c r="Y48" i="59"/>
  <c r="Q48" i="59"/>
  <c r="S32" i="59"/>
  <c r="T32" i="59" s="1"/>
  <c r="U32" i="59" s="1"/>
  <c r="U31" i="59"/>
  <c r="T31" i="59"/>
  <c r="S31" i="59"/>
  <c r="S30" i="59"/>
  <c r="S29" i="59"/>
  <c r="Y28" i="59"/>
  <c r="S28" i="59"/>
  <c r="Y27" i="59"/>
  <c r="S27" i="59"/>
  <c r="T27" i="59" s="1"/>
  <c r="AD26" i="59"/>
  <c r="Z26" i="59"/>
  <c r="Y26" i="59"/>
  <c r="Q26" i="59"/>
  <c r="P26" i="59"/>
  <c r="G26" i="59"/>
  <c r="G48" i="59" s="1"/>
  <c r="G70" i="59" s="1"/>
  <c r="G92" i="59" s="1"/>
  <c r="F26" i="59"/>
  <c r="F48" i="59" s="1"/>
  <c r="F70" i="59" s="1"/>
  <c r="F92" i="59" s="1"/>
  <c r="E26" i="59"/>
  <c r="E48" i="59" s="1"/>
  <c r="E70" i="59" s="1"/>
  <c r="E92" i="59" s="1"/>
  <c r="D26" i="59"/>
  <c r="D48" i="59" s="1"/>
  <c r="D70" i="59" s="1"/>
  <c r="D92" i="59" s="1"/>
  <c r="C26" i="59"/>
  <c r="C48" i="59" s="1"/>
  <c r="C70" i="59" s="1"/>
  <c r="C92" i="59" s="1"/>
  <c r="B26" i="59"/>
  <c r="B48" i="59" s="1"/>
  <c r="B70" i="59" s="1"/>
  <c r="B92" i="59" s="1"/>
  <c r="S17" i="59"/>
  <c r="T17" i="59" s="1"/>
  <c r="U17" i="59" s="1"/>
  <c r="U16" i="59"/>
  <c r="T16" i="59"/>
  <c r="S16" i="59"/>
  <c r="S15" i="59"/>
  <c r="S14" i="59"/>
  <c r="U13" i="59"/>
  <c r="T13" i="59"/>
  <c r="S13" i="59"/>
  <c r="S12" i="59"/>
  <c r="T11" i="59"/>
  <c r="U11" i="59" s="1"/>
  <c r="S11" i="59"/>
  <c r="T12" i="59" s="1"/>
  <c r="U12" i="59" s="1"/>
  <c r="S10" i="59"/>
  <c r="T10" i="59" s="1"/>
  <c r="U10" i="59" s="1"/>
  <c r="S9" i="59"/>
  <c r="T9" i="59" s="1"/>
  <c r="U9" i="59" s="1"/>
  <c r="U8" i="59"/>
  <c r="T8" i="59"/>
  <c r="S8" i="59"/>
  <c r="S7" i="59"/>
  <c r="S6" i="59"/>
  <c r="Y5" i="59"/>
  <c r="S5" i="59"/>
  <c r="T5" i="59" s="1"/>
  <c r="AD4" i="59"/>
  <c r="Y4" i="59"/>
  <c r="Z4" i="59" s="1"/>
  <c r="Q4" i="59"/>
  <c r="P4" i="59"/>
  <c r="B1" i="59"/>
  <c r="K115" i="91"/>
  <c r="R114" i="91"/>
  <c r="K114" i="91"/>
  <c r="Y92" i="91"/>
  <c r="T92" i="91"/>
  <c r="Q92" i="91"/>
  <c r="Y70" i="91"/>
  <c r="T70" i="91"/>
  <c r="Q70" i="91"/>
  <c r="C70" i="91"/>
  <c r="C92" i="91" s="1"/>
  <c r="S50" i="91"/>
  <c r="T50" i="91" s="1"/>
  <c r="U50" i="91" s="1"/>
  <c r="S49" i="91"/>
  <c r="T49" i="91" s="1"/>
  <c r="Y48" i="91"/>
  <c r="Q48" i="91"/>
  <c r="C48" i="91"/>
  <c r="B48" i="91"/>
  <c r="B70" i="91" s="1"/>
  <c r="B92" i="91" s="1"/>
  <c r="U37" i="91"/>
  <c r="S36" i="91"/>
  <c r="T36" i="91" s="1"/>
  <c r="U36" i="91" s="1"/>
  <c r="S35" i="91"/>
  <c r="T35" i="91" s="1"/>
  <c r="U35" i="91" s="1"/>
  <c r="U34" i="91"/>
  <c r="T34" i="91"/>
  <c r="S34" i="91"/>
  <c r="S33" i="91"/>
  <c r="S32" i="91"/>
  <c r="U31" i="91"/>
  <c r="T31" i="91"/>
  <c r="S31" i="91"/>
  <c r="S30" i="91"/>
  <c r="T29" i="91"/>
  <c r="U29" i="91" s="1"/>
  <c r="S29" i="91"/>
  <c r="T30" i="91" s="1"/>
  <c r="U30" i="91" s="1"/>
  <c r="Y28" i="91"/>
  <c r="S28" i="91"/>
  <c r="Y27" i="91"/>
  <c r="T27" i="91"/>
  <c r="S27" i="91"/>
  <c r="T28" i="91" s="1"/>
  <c r="U28" i="91" s="1"/>
  <c r="AD26" i="91"/>
  <c r="Y26" i="91"/>
  <c r="Z26" i="91" s="1"/>
  <c r="P26" i="91"/>
  <c r="G26" i="91"/>
  <c r="G48" i="91" s="1"/>
  <c r="G70" i="91" s="1"/>
  <c r="G92" i="91" s="1"/>
  <c r="F26" i="91"/>
  <c r="F48" i="91" s="1"/>
  <c r="F70" i="91" s="1"/>
  <c r="F92" i="91" s="1"/>
  <c r="E26" i="91"/>
  <c r="E48" i="91" s="1"/>
  <c r="E70" i="91" s="1"/>
  <c r="E92" i="91" s="1"/>
  <c r="D26" i="91"/>
  <c r="D48" i="91" s="1"/>
  <c r="D70" i="91" s="1"/>
  <c r="D92" i="91" s="1"/>
  <c r="C26" i="91"/>
  <c r="B26" i="91"/>
  <c r="S16" i="91"/>
  <c r="T16" i="91" s="1"/>
  <c r="U16" i="91" s="1"/>
  <c r="U15" i="91"/>
  <c r="T15" i="91"/>
  <c r="S15" i="91"/>
  <c r="S14" i="91"/>
  <c r="S13" i="91"/>
  <c r="U12" i="91"/>
  <c r="T12" i="91"/>
  <c r="S12" i="91"/>
  <c r="S11" i="91"/>
  <c r="T10" i="91"/>
  <c r="U10" i="91" s="1"/>
  <c r="S10" i="91"/>
  <c r="T11" i="91" s="1"/>
  <c r="U11" i="91" s="1"/>
  <c r="S9" i="91"/>
  <c r="T9" i="91" s="1"/>
  <c r="U9" i="91" s="1"/>
  <c r="S8" i="91"/>
  <c r="T8" i="91" s="1"/>
  <c r="U8" i="91" s="1"/>
  <c r="U7" i="91"/>
  <c r="T7" i="91"/>
  <c r="S7" i="91"/>
  <c r="S6" i="91"/>
  <c r="Y5" i="91"/>
  <c r="T5" i="91"/>
  <c r="S5" i="91"/>
  <c r="T6" i="91" s="1"/>
  <c r="U6" i="91" s="1"/>
  <c r="AD4" i="91"/>
  <c r="Y4" i="91"/>
  <c r="Z4" i="91" s="1"/>
  <c r="Q4" i="91"/>
  <c r="P4" i="91"/>
  <c r="B1" i="91"/>
  <c r="K115" i="39"/>
  <c r="R114" i="39"/>
  <c r="K114" i="39"/>
  <c r="T113" i="39"/>
  <c r="T112" i="39"/>
  <c r="T111" i="39"/>
  <c r="T110" i="39"/>
  <c r="T109" i="39"/>
  <c r="T108" i="39"/>
  <c r="T107" i="39"/>
  <c r="T106" i="39"/>
  <c r="T105" i="39"/>
  <c r="T104" i="39"/>
  <c r="T103" i="39"/>
  <c r="T102" i="39"/>
  <c r="T101" i="39"/>
  <c r="T100" i="39"/>
  <c r="T99" i="39"/>
  <c r="T98" i="39"/>
  <c r="T97" i="39"/>
  <c r="T96" i="39"/>
  <c r="T95" i="39"/>
  <c r="T94" i="39"/>
  <c r="T93" i="39"/>
  <c r="Y92" i="39"/>
  <c r="T92" i="39"/>
  <c r="Q92" i="39"/>
  <c r="C92" i="39"/>
  <c r="T91" i="39"/>
  <c r="T90" i="39"/>
  <c r="T89" i="39"/>
  <c r="T88" i="39"/>
  <c r="T87" i="39"/>
  <c r="T86" i="39"/>
  <c r="T85" i="39"/>
  <c r="T84" i="39"/>
  <c r="T83" i="39"/>
  <c r="T82" i="39"/>
  <c r="T81" i="39"/>
  <c r="T80" i="39"/>
  <c r="T79" i="39"/>
  <c r="T78" i="39"/>
  <c r="T77" i="39"/>
  <c r="T76" i="39"/>
  <c r="T75" i="39"/>
  <c r="T74" i="39"/>
  <c r="T73" i="39"/>
  <c r="T72" i="39"/>
  <c r="T71" i="39"/>
  <c r="Y70" i="39"/>
  <c r="T70" i="39"/>
  <c r="Q70" i="39"/>
  <c r="T69" i="39"/>
  <c r="T68" i="39"/>
  <c r="T67" i="39"/>
  <c r="T66" i="39"/>
  <c r="T65" i="39"/>
  <c r="T64" i="39"/>
  <c r="T63" i="39"/>
  <c r="T62" i="39"/>
  <c r="T61" i="39"/>
  <c r="T60" i="39"/>
  <c r="T59" i="39"/>
  <c r="T58" i="39"/>
  <c r="T57" i="39"/>
  <c r="T56" i="39"/>
  <c r="T55" i="39"/>
  <c r="T54" i="39"/>
  <c r="T53" i="39"/>
  <c r="T52" i="39"/>
  <c r="S50" i="39"/>
  <c r="T51" i="39" s="1"/>
  <c r="S49" i="39"/>
  <c r="Y48" i="39"/>
  <c r="T48" i="39"/>
  <c r="Q48" i="39"/>
  <c r="C48" i="39"/>
  <c r="C70" i="39" s="1"/>
  <c r="B48" i="39"/>
  <c r="B70" i="39" s="1"/>
  <c r="B92" i="39" s="1"/>
  <c r="T47" i="39"/>
  <c r="T46" i="39"/>
  <c r="T45" i="39"/>
  <c r="T44" i="39"/>
  <c r="T43" i="39"/>
  <c r="T42" i="39"/>
  <c r="T41" i="39"/>
  <c r="T40" i="39"/>
  <c r="S38" i="39"/>
  <c r="S37" i="39"/>
  <c r="U36" i="39"/>
  <c r="T36" i="39"/>
  <c r="S36" i="39"/>
  <c r="S35" i="39"/>
  <c r="S34" i="39"/>
  <c r="T35" i="39" s="1"/>
  <c r="U35" i="39" s="1"/>
  <c r="S33" i="39"/>
  <c r="T33" i="39" s="1"/>
  <c r="U33" i="39" s="1"/>
  <c r="S32" i="39"/>
  <c r="T32" i="39" s="1"/>
  <c r="U32" i="39" s="1"/>
  <c r="S31" i="39"/>
  <c r="T31" i="39" s="1"/>
  <c r="U31" i="39" s="1"/>
  <c r="S30" i="39"/>
  <c r="S29" i="39"/>
  <c r="Y28" i="39"/>
  <c r="U28" i="39"/>
  <c r="S28" i="39"/>
  <c r="T28" i="39" s="1"/>
  <c r="Y27" i="39"/>
  <c r="S27" i="39"/>
  <c r="T27" i="39" s="1"/>
  <c r="AD26" i="39"/>
  <c r="Z26" i="39"/>
  <c r="Y26" i="39"/>
  <c r="Q26" i="39"/>
  <c r="P26" i="39"/>
  <c r="G26" i="39"/>
  <c r="G48" i="39" s="1"/>
  <c r="G70" i="39" s="1"/>
  <c r="G92" i="39" s="1"/>
  <c r="F26" i="39"/>
  <c r="F48" i="39" s="1"/>
  <c r="F70" i="39" s="1"/>
  <c r="F92" i="39" s="1"/>
  <c r="E26" i="39"/>
  <c r="E48" i="39" s="1"/>
  <c r="E70" i="39" s="1"/>
  <c r="E92" i="39" s="1"/>
  <c r="D26" i="39"/>
  <c r="D48" i="39" s="1"/>
  <c r="D70" i="39" s="1"/>
  <c r="D92" i="39" s="1"/>
  <c r="C26" i="39"/>
  <c r="B26" i="39"/>
  <c r="U18" i="39"/>
  <c r="S17" i="39"/>
  <c r="T17" i="39" s="1"/>
  <c r="U17" i="39" s="1"/>
  <c r="U16" i="39"/>
  <c r="T16" i="39"/>
  <c r="S16" i="39"/>
  <c r="S15" i="39"/>
  <c r="S14" i="39"/>
  <c r="T15" i="39" s="1"/>
  <c r="U15" i="39" s="1"/>
  <c r="S13" i="39"/>
  <c r="T13" i="39" s="1"/>
  <c r="U13" i="39" s="1"/>
  <c r="S12" i="39"/>
  <c r="T12" i="39" s="1"/>
  <c r="U12" i="39" s="1"/>
  <c r="S11" i="39"/>
  <c r="T11" i="39" s="1"/>
  <c r="U11" i="39" s="1"/>
  <c r="S10" i="39"/>
  <c r="S9" i="39"/>
  <c r="T8" i="39"/>
  <c r="U8" i="39" s="1"/>
  <c r="S8" i="39"/>
  <c r="Y7" i="39"/>
  <c r="S7" i="39"/>
  <c r="T7" i="39" s="1"/>
  <c r="U7" i="39" s="1"/>
  <c r="Y6" i="39"/>
  <c r="T6" i="39"/>
  <c r="U6" i="39" s="1"/>
  <c r="S6" i="39"/>
  <c r="Y5" i="39"/>
  <c r="S5" i="39"/>
  <c r="T5" i="39" s="1"/>
  <c r="U5" i="39" s="1"/>
  <c r="AD4" i="39"/>
  <c r="Z4" i="39"/>
  <c r="Q4" i="39"/>
  <c r="P4" i="39"/>
  <c r="B1" i="39"/>
  <c r="R114" i="56"/>
  <c r="K114" i="56"/>
  <c r="K115" i="56" s="1"/>
  <c r="Y92" i="56"/>
  <c r="T92" i="56"/>
  <c r="Q92" i="56"/>
  <c r="Y70" i="56"/>
  <c r="T70" i="56"/>
  <c r="Q70" i="56"/>
  <c r="E70" i="56"/>
  <c r="E92" i="56" s="1"/>
  <c r="S50" i="56"/>
  <c r="T49" i="56"/>
  <c r="S49" i="56"/>
  <c r="T50" i="56" s="1"/>
  <c r="U50" i="56" s="1"/>
  <c r="Y48" i="56"/>
  <c r="Q48" i="56"/>
  <c r="E48" i="56"/>
  <c r="C48" i="56"/>
  <c r="C70" i="56" s="1"/>
  <c r="C92" i="56" s="1"/>
  <c r="B48" i="56"/>
  <c r="B70" i="56" s="1"/>
  <c r="B92" i="56" s="1"/>
  <c r="Y28" i="56"/>
  <c r="U28" i="56"/>
  <c r="S28" i="56"/>
  <c r="Y27" i="56"/>
  <c r="S27" i="56"/>
  <c r="T28" i="56" s="1"/>
  <c r="AD26" i="56"/>
  <c r="Z26" i="56"/>
  <c r="Y26" i="56"/>
  <c r="Q26" i="56"/>
  <c r="P26" i="56"/>
  <c r="G26" i="56"/>
  <c r="G48" i="56" s="1"/>
  <c r="G70" i="56" s="1"/>
  <c r="G92" i="56" s="1"/>
  <c r="F26" i="56"/>
  <c r="F48" i="56" s="1"/>
  <c r="F70" i="56" s="1"/>
  <c r="F92" i="56" s="1"/>
  <c r="E26" i="56"/>
  <c r="D26" i="56"/>
  <c r="D48" i="56" s="1"/>
  <c r="D70" i="56" s="1"/>
  <c r="D92" i="56" s="1"/>
  <c r="C26" i="56"/>
  <c r="B26" i="56"/>
  <c r="T11" i="56"/>
  <c r="U11" i="56" s="1"/>
  <c r="S11" i="56"/>
  <c r="U10" i="56"/>
  <c r="S10" i="56"/>
  <c r="T10" i="56" s="1"/>
  <c r="S9" i="56"/>
  <c r="T8" i="56"/>
  <c r="U8" i="56" s="1"/>
  <c r="S8" i="56"/>
  <c r="S7" i="56"/>
  <c r="S6" i="56"/>
  <c r="T6" i="56" s="1"/>
  <c r="U6" i="56" s="1"/>
  <c r="Y5" i="56"/>
  <c r="S5" i="56"/>
  <c r="T5" i="56" s="1"/>
  <c r="U5" i="56" s="1"/>
  <c r="AD4" i="56"/>
  <c r="Y4" i="56"/>
  <c r="Z4" i="56" s="1"/>
  <c r="Q4" i="56"/>
  <c r="P4" i="56"/>
  <c r="B1" i="56"/>
  <c r="K115" i="89"/>
  <c r="R114" i="89"/>
  <c r="K114" i="89"/>
  <c r="Y92" i="89"/>
  <c r="Y114" i="89" s="1"/>
  <c r="T92" i="89"/>
  <c r="Q92" i="89"/>
  <c r="Y70" i="89"/>
  <c r="T70" i="89"/>
  <c r="Q70" i="89"/>
  <c r="G70" i="89"/>
  <c r="G92" i="89" s="1"/>
  <c r="C70" i="89"/>
  <c r="C92" i="89" s="1"/>
  <c r="U50" i="89"/>
  <c r="S50" i="89"/>
  <c r="T50" i="89" s="1"/>
  <c r="S49" i="89"/>
  <c r="T49" i="89" s="1"/>
  <c r="U49" i="89" s="1"/>
  <c r="Y48" i="89"/>
  <c r="T48" i="89"/>
  <c r="Q48" i="89"/>
  <c r="C48" i="89"/>
  <c r="U37" i="89"/>
  <c r="S36" i="89"/>
  <c r="T36" i="89" s="1"/>
  <c r="U36" i="89" s="1"/>
  <c r="S35" i="89"/>
  <c r="T35" i="89" s="1"/>
  <c r="U35" i="89" s="1"/>
  <c r="U34" i="89"/>
  <c r="T34" i="89"/>
  <c r="S34" i="89"/>
  <c r="T33" i="89"/>
  <c r="U33" i="89" s="1"/>
  <c r="S33" i="89"/>
  <c r="S32" i="89"/>
  <c r="T32" i="89" s="1"/>
  <c r="U32" i="89" s="1"/>
  <c r="T31" i="89"/>
  <c r="U31" i="89" s="1"/>
  <c r="S31" i="89"/>
  <c r="U30" i="89"/>
  <c r="S30" i="89"/>
  <c r="T29" i="89"/>
  <c r="U29" i="89" s="1"/>
  <c r="S29" i="89"/>
  <c r="T30" i="89" s="1"/>
  <c r="Y28" i="89"/>
  <c r="T28" i="89"/>
  <c r="U28" i="89" s="1"/>
  <c r="S28" i="89"/>
  <c r="Y27" i="89"/>
  <c r="T27" i="89"/>
  <c r="S27" i="89"/>
  <c r="AD26" i="89"/>
  <c r="Y26" i="89"/>
  <c r="Z26" i="89" s="1"/>
  <c r="P26" i="89"/>
  <c r="G26" i="89"/>
  <c r="G48" i="89" s="1"/>
  <c r="F26" i="89"/>
  <c r="F48" i="89" s="1"/>
  <c r="F70" i="89" s="1"/>
  <c r="F92" i="89" s="1"/>
  <c r="E26" i="89"/>
  <c r="E48" i="89" s="1"/>
  <c r="E70" i="89" s="1"/>
  <c r="E92" i="89" s="1"/>
  <c r="D26" i="89"/>
  <c r="D48" i="89" s="1"/>
  <c r="D70" i="89" s="1"/>
  <c r="D92" i="89" s="1"/>
  <c r="C26" i="89"/>
  <c r="B26" i="89"/>
  <c r="B48" i="89" s="1"/>
  <c r="B70" i="89" s="1"/>
  <c r="B92" i="89" s="1"/>
  <c r="S17" i="89"/>
  <c r="S16" i="89"/>
  <c r="T16" i="89" s="1"/>
  <c r="U16" i="89" s="1"/>
  <c r="T15" i="89"/>
  <c r="U15" i="89" s="1"/>
  <c r="S15" i="89"/>
  <c r="S14" i="89"/>
  <c r="T14" i="89" s="1"/>
  <c r="U14" i="89" s="1"/>
  <c r="U13" i="89"/>
  <c r="T13" i="89"/>
  <c r="S13" i="89"/>
  <c r="S12" i="89"/>
  <c r="T11" i="89"/>
  <c r="U11" i="89" s="1"/>
  <c r="S11" i="89"/>
  <c r="T12" i="89" s="1"/>
  <c r="U12" i="89" s="1"/>
  <c r="S10" i="89"/>
  <c r="T10" i="89" s="1"/>
  <c r="U10" i="89" s="1"/>
  <c r="S9" i="89"/>
  <c r="S8" i="89"/>
  <c r="T8" i="89" s="1"/>
  <c r="U8" i="89" s="1"/>
  <c r="T7" i="89"/>
  <c r="U7" i="89" s="1"/>
  <c r="S7" i="89"/>
  <c r="S6" i="89"/>
  <c r="Y5" i="89"/>
  <c r="S5" i="89"/>
  <c r="T5" i="89" s="1"/>
  <c r="U5" i="89" s="1"/>
  <c r="AD4" i="89"/>
  <c r="Y4" i="89"/>
  <c r="Z4" i="89" s="1"/>
  <c r="P4" i="89"/>
  <c r="B1" i="89"/>
  <c r="R114" i="86"/>
  <c r="K114" i="86"/>
  <c r="K115" i="86" s="1"/>
  <c r="Y92" i="86"/>
  <c r="T92" i="86"/>
  <c r="Q92" i="86"/>
  <c r="Y70" i="86"/>
  <c r="Y114" i="86" s="1"/>
  <c r="T70" i="86"/>
  <c r="Q70" i="86"/>
  <c r="B70" i="86"/>
  <c r="B92" i="86" s="1"/>
  <c r="U50" i="86"/>
  <c r="T50" i="86"/>
  <c r="S50" i="86"/>
  <c r="U49" i="86"/>
  <c r="T49" i="86"/>
  <c r="S49" i="86"/>
  <c r="Y48" i="86"/>
  <c r="T48" i="86"/>
  <c r="Q48" i="86"/>
  <c r="G48" i="86"/>
  <c r="G70" i="86" s="1"/>
  <c r="G92" i="86" s="1"/>
  <c r="U37" i="86"/>
  <c r="T36" i="86"/>
  <c r="U36" i="86" s="1"/>
  <c r="S36" i="86"/>
  <c r="U35" i="86"/>
  <c r="S35" i="86"/>
  <c r="T34" i="86"/>
  <c r="U34" i="86" s="1"/>
  <c r="S34" i="86"/>
  <c r="T35" i="86" s="1"/>
  <c r="U33" i="86"/>
  <c r="S33" i="86"/>
  <c r="T33" i="86" s="1"/>
  <c r="S32" i="86"/>
  <c r="T31" i="86"/>
  <c r="U31" i="86" s="1"/>
  <c r="S31" i="86"/>
  <c r="S30" i="86"/>
  <c r="S29" i="86"/>
  <c r="T29" i="86" s="1"/>
  <c r="U29" i="86" s="1"/>
  <c r="Y28" i="86"/>
  <c r="S28" i="86"/>
  <c r="Y27" i="86"/>
  <c r="S27" i="86"/>
  <c r="T27" i="86" s="1"/>
  <c r="U27" i="86" s="1"/>
  <c r="AD26" i="86"/>
  <c r="Z26" i="86"/>
  <c r="Y26" i="86"/>
  <c r="Q26" i="86"/>
  <c r="P26" i="86"/>
  <c r="G26" i="86"/>
  <c r="F26" i="86"/>
  <c r="F48" i="86" s="1"/>
  <c r="F70" i="86" s="1"/>
  <c r="F92" i="86" s="1"/>
  <c r="E26" i="86"/>
  <c r="E48" i="86" s="1"/>
  <c r="E70" i="86" s="1"/>
  <c r="E92" i="86" s="1"/>
  <c r="D26" i="86"/>
  <c r="D48" i="86" s="1"/>
  <c r="D70" i="86" s="1"/>
  <c r="D92" i="86" s="1"/>
  <c r="C26" i="86"/>
  <c r="C48" i="86" s="1"/>
  <c r="C70" i="86" s="1"/>
  <c r="C92" i="86" s="1"/>
  <c r="B26" i="86"/>
  <c r="B48" i="86" s="1"/>
  <c r="S17" i="86"/>
  <c r="T16" i="86"/>
  <c r="U16" i="86" s="1"/>
  <c r="S16" i="86"/>
  <c r="S15" i="86"/>
  <c r="S14" i="86"/>
  <c r="T14" i="86" s="1"/>
  <c r="U14" i="86" s="1"/>
  <c r="T13" i="86"/>
  <c r="U13" i="86" s="1"/>
  <c r="S13" i="86"/>
  <c r="U12" i="86"/>
  <c r="S12" i="86"/>
  <c r="T11" i="86"/>
  <c r="U11" i="86" s="1"/>
  <c r="S11" i="86"/>
  <c r="T12" i="86" s="1"/>
  <c r="U10" i="86"/>
  <c r="S10" i="86"/>
  <c r="T10" i="86" s="1"/>
  <c r="S9" i="86"/>
  <c r="T8" i="86"/>
  <c r="U8" i="86" s="1"/>
  <c r="S8" i="86"/>
  <c r="S7" i="86"/>
  <c r="S6" i="86"/>
  <c r="T6" i="86" s="1"/>
  <c r="U6" i="86" s="1"/>
  <c r="Y5" i="86"/>
  <c r="U5" i="86"/>
  <c r="S5" i="86"/>
  <c r="T5" i="86" s="1"/>
  <c r="AD4" i="86"/>
  <c r="Y4" i="86"/>
  <c r="Z4" i="86" s="1"/>
  <c r="Q4" i="86"/>
  <c r="P4" i="86"/>
  <c r="B1" i="86"/>
  <c r="K115" i="72"/>
  <c r="R114" i="72"/>
  <c r="K114" i="72"/>
  <c r="Y92" i="72"/>
  <c r="Y114" i="72" s="1"/>
  <c r="T92" i="72"/>
  <c r="Q92" i="72"/>
  <c r="Y70" i="72"/>
  <c r="T70" i="72"/>
  <c r="Q70" i="72"/>
  <c r="G70" i="72"/>
  <c r="G92" i="72" s="1"/>
  <c r="C70" i="72"/>
  <c r="C92" i="72" s="1"/>
  <c r="U50" i="72"/>
  <c r="S50" i="72"/>
  <c r="T50" i="72" s="1"/>
  <c r="S49" i="72"/>
  <c r="T49" i="72" s="1"/>
  <c r="U49" i="72" s="1"/>
  <c r="Y48" i="72"/>
  <c r="T48" i="72"/>
  <c r="Q48" i="72"/>
  <c r="B48" i="72"/>
  <c r="B70" i="72" s="1"/>
  <c r="B92" i="72" s="1"/>
  <c r="U37" i="72"/>
  <c r="S36" i="72"/>
  <c r="T36" i="72" s="1"/>
  <c r="U36" i="72" s="1"/>
  <c r="S35" i="72"/>
  <c r="U34" i="72"/>
  <c r="T34" i="72"/>
  <c r="S34" i="72"/>
  <c r="T33" i="72"/>
  <c r="U33" i="72" s="1"/>
  <c r="S33" i="72"/>
  <c r="S32" i="72"/>
  <c r="T32" i="72" s="1"/>
  <c r="U32" i="72" s="1"/>
  <c r="U31" i="72"/>
  <c r="T31" i="72"/>
  <c r="S31" i="72"/>
  <c r="U30" i="72"/>
  <c r="S30" i="72"/>
  <c r="S29" i="72"/>
  <c r="T30" i="72" s="1"/>
  <c r="Y28" i="72"/>
  <c r="S28" i="72"/>
  <c r="Y27" i="72"/>
  <c r="T27" i="72"/>
  <c r="S27" i="72"/>
  <c r="T28" i="72" s="1"/>
  <c r="U28" i="72" s="1"/>
  <c r="AD26" i="72"/>
  <c r="Y26" i="72"/>
  <c r="Z26" i="72" s="1"/>
  <c r="Q26" i="72"/>
  <c r="P26" i="72"/>
  <c r="G26" i="72"/>
  <c r="G48" i="72" s="1"/>
  <c r="F26" i="72"/>
  <c r="F48" i="72" s="1"/>
  <c r="F70" i="72" s="1"/>
  <c r="F92" i="72" s="1"/>
  <c r="E26" i="72"/>
  <c r="E48" i="72" s="1"/>
  <c r="E70" i="72" s="1"/>
  <c r="E92" i="72" s="1"/>
  <c r="D26" i="72"/>
  <c r="D48" i="72" s="1"/>
  <c r="D70" i="72" s="1"/>
  <c r="D92" i="72" s="1"/>
  <c r="C26" i="72"/>
  <c r="C48" i="72" s="1"/>
  <c r="B26" i="72"/>
  <c r="S16" i="72"/>
  <c r="T16" i="72" s="1"/>
  <c r="U16" i="72" s="1"/>
  <c r="U15" i="72"/>
  <c r="T15" i="72"/>
  <c r="S15" i="72"/>
  <c r="U14" i="72"/>
  <c r="S14" i="72"/>
  <c r="S13" i="72"/>
  <c r="T14" i="72" s="1"/>
  <c r="S12" i="72"/>
  <c r="T12" i="72" s="1"/>
  <c r="U12" i="72" s="1"/>
  <c r="S11" i="72"/>
  <c r="U10" i="72"/>
  <c r="T10" i="72"/>
  <c r="S10" i="72"/>
  <c r="T9" i="72"/>
  <c r="U9" i="72" s="1"/>
  <c r="S9" i="72"/>
  <c r="S8" i="72"/>
  <c r="T8" i="72" s="1"/>
  <c r="U8" i="72" s="1"/>
  <c r="U7" i="72"/>
  <c r="T7" i="72"/>
  <c r="S7" i="72"/>
  <c r="U6" i="72"/>
  <c r="S6" i="72"/>
  <c r="Y5" i="72"/>
  <c r="S5" i="72"/>
  <c r="T6" i="72" s="1"/>
  <c r="AD4" i="72"/>
  <c r="Z4" i="72"/>
  <c r="Y4" i="72"/>
  <c r="Q4" i="72"/>
  <c r="P4" i="72"/>
  <c r="B1" i="72"/>
  <c r="K115" i="92"/>
  <c r="R114" i="92"/>
  <c r="K114" i="92"/>
  <c r="Y92" i="92"/>
  <c r="Y114" i="92" s="1"/>
  <c r="T92" i="92"/>
  <c r="Q92" i="92"/>
  <c r="Y70" i="92"/>
  <c r="T70" i="92"/>
  <c r="Q70" i="92"/>
  <c r="G70" i="92"/>
  <c r="G92" i="92" s="1"/>
  <c r="E70" i="92"/>
  <c r="E92" i="92" s="1"/>
  <c r="T50" i="92"/>
  <c r="U50" i="92" s="1"/>
  <c r="S50" i="92"/>
  <c r="T49" i="92"/>
  <c r="S49" i="92"/>
  <c r="Y48" i="92"/>
  <c r="Q48" i="92"/>
  <c r="G48" i="92"/>
  <c r="D48" i="92"/>
  <c r="D70" i="92" s="1"/>
  <c r="D92" i="92" s="1"/>
  <c r="S38" i="92"/>
  <c r="T38" i="92" s="1"/>
  <c r="U38" i="92" s="1"/>
  <c r="S37" i="92"/>
  <c r="T37" i="92" s="1"/>
  <c r="U37" i="92" s="1"/>
  <c r="S36" i="92"/>
  <c r="T36" i="92" s="1"/>
  <c r="U36" i="92" s="1"/>
  <c r="S35" i="92"/>
  <c r="T35" i="92" s="1"/>
  <c r="U35" i="92" s="1"/>
  <c r="T34" i="92"/>
  <c r="U34" i="92" s="1"/>
  <c r="S34" i="92"/>
  <c r="S33" i="92"/>
  <c r="T33" i="92" s="1"/>
  <c r="U33" i="92" s="1"/>
  <c r="U32" i="92"/>
  <c r="T32" i="92"/>
  <c r="S32" i="92"/>
  <c r="S31" i="92"/>
  <c r="S30" i="92"/>
  <c r="T31" i="92" s="1"/>
  <c r="U31" i="92" s="1"/>
  <c r="S29" i="92"/>
  <c r="T29" i="92" s="1"/>
  <c r="U29" i="92" s="1"/>
  <c r="Y28" i="92"/>
  <c r="S28" i="92"/>
  <c r="T28" i="92" s="1"/>
  <c r="U28" i="92" s="1"/>
  <c r="Y27" i="92"/>
  <c r="U27" i="92"/>
  <c r="S27" i="92"/>
  <c r="T27" i="92" s="1"/>
  <c r="AD26" i="92"/>
  <c r="Y26" i="92"/>
  <c r="Z26" i="92" s="1"/>
  <c r="Q26" i="92"/>
  <c r="P26" i="92"/>
  <c r="G26" i="92"/>
  <c r="F26" i="92"/>
  <c r="F48" i="92" s="1"/>
  <c r="F70" i="92" s="1"/>
  <c r="F92" i="92" s="1"/>
  <c r="E26" i="92"/>
  <c r="E48" i="92" s="1"/>
  <c r="D26" i="92"/>
  <c r="C26" i="92"/>
  <c r="C48" i="92" s="1"/>
  <c r="C70" i="92" s="1"/>
  <c r="C92" i="92" s="1"/>
  <c r="B26" i="92"/>
  <c r="B48" i="92" s="1"/>
  <c r="B70" i="92" s="1"/>
  <c r="B92" i="92" s="1"/>
  <c r="U9" i="92"/>
  <c r="T9" i="92"/>
  <c r="S9" i="92"/>
  <c r="U8" i="92"/>
  <c r="S8" i="92"/>
  <c r="T7" i="92"/>
  <c r="U7" i="92" s="1"/>
  <c r="S7" i="92"/>
  <c r="T8" i="92" s="1"/>
  <c r="Y6" i="92"/>
  <c r="T6" i="92"/>
  <c r="U6" i="92" s="1"/>
  <c r="S6" i="92"/>
  <c r="Y5" i="92"/>
  <c r="T5" i="92"/>
  <c r="S5" i="92"/>
  <c r="AD4" i="92"/>
  <c r="Y4" i="92"/>
  <c r="Z4" i="92" s="1"/>
  <c r="Q4" i="92"/>
  <c r="P4" i="92"/>
  <c r="B1" i="92"/>
  <c r="R114" i="87"/>
  <c r="K114" i="87"/>
  <c r="K115" i="87" s="1"/>
  <c r="Y92" i="87"/>
  <c r="T92" i="87"/>
  <c r="Q92" i="87"/>
  <c r="Y70" i="87"/>
  <c r="T70" i="87"/>
  <c r="Q70" i="87"/>
  <c r="T50" i="87"/>
  <c r="U50" i="87" s="1"/>
  <c r="S50" i="87"/>
  <c r="U49" i="87"/>
  <c r="S49" i="87"/>
  <c r="T49" i="87" s="1"/>
  <c r="Y48" i="87"/>
  <c r="Q48" i="87"/>
  <c r="S37" i="87"/>
  <c r="T37" i="87" s="1"/>
  <c r="U37" i="87" s="1"/>
  <c r="T36" i="87"/>
  <c r="U36" i="87" s="1"/>
  <c r="S36" i="87"/>
  <c r="U35" i="87"/>
  <c r="S35" i="87"/>
  <c r="T34" i="87"/>
  <c r="U34" i="87" s="1"/>
  <c r="S34" i="87"/>
  <c r="T35" i="87" s="1"/>
  <c r="U33" i="87"/>
  <c r="S33" i="87"/>
  <c r="T33" i="87" s="1"/>
  <c r="S32" i="87"/>
  <c r="T32" i="87" s="1"/>
  <c r="U32" i="87" s="1"/>
  <c r="Q32" i="87"/>
  <c r="Q26" i="87" s="1"/>
  <c r="U31" i="87"/>
  <c r="T31" i="87"/>
  <c r="S31" i="87"/>
  <c r="S30" i="87"/>
  <c r="S29" i="87"/>
  <c r="Y28" i="87"/>
  <c r="S28" i="87"/>
  <c r="Y27" i="87"/>
  <c r="S27" i="87"/>
  <c r="T28" i="87" s="1"/>
  <c r="U28" i="87" s="1"/>
  <c r="AD26" i="87"/>
  <c r="Y26" i="87"/>
  <c r="P26" i="87"/>
  <c r="G26" i="87"/>
  <c r="G48" i="87" s="1"/>
  <c r="G70" i="87" s="1"/>
  <c r="G92" i="87" s="1"/>
  <c r="F26" i="87"/>
  <c r="F48" i="87" s="1"/>
  <c r="F70" i="87" s="1"/>
  <c r="F92" i="87" s="1"/>
  <c r="E26" i="87"/>
  <c r="E48" i="87" s="1"/>
  <c r="E70" i="87" s="1"/>
  <c r="E92" i="87" s="1"/>
  <c r="D26" i="87"/>
  <c r="D48" i="87" s="1"/>
  <c r="D70" i="87" s="1"/>
  <c r="D92" i="87" s="1"/>
  <c r="C26" i="87"/>
  <c r="C48" i="87" s="1"/>
  <c r="C70" i="87" s="1"/>
  <c r="C92" i="87" s="1"/>
  <c r="B26" i="87"/>
  <c r="B48" i="87" s="1"/>
  <c r="B70" i="87" s="1"/>
  <c r="B92" i="87" s="1"/>
  <c r="S16" i="87"/>
  <c r="T16" i="87" s="1"/>
  <c r="U16" i="87" s="1"/>
  <c r="U15" i="87"/>
  <c r="T15" i="87"/>
  <c r="S15" i="87"/>
  <c r="U14" i="87"/>
  <c r="S14" i="87"/>
  <c r="S13" i="87"/>
  <c r="T14" i="87" s="1"/>
  <c r="U12" i="87"/>
  <c r="S12" i="87"/>
  <c r="T12" i="87" s="1"/>
  <c r="S11" i="87"/>
  <c r="T11" i="87" s="1"/>
  <c r="U11" i="87" s="1"/>
  <c r="T10" i="87"/>
  <c r="U10" i="87" s="1"/>
  <c r="S10" i="87"/>
  <c r="S9" i="87"/>
  <c r="S8" i="87"/>
  <c r="U7" i="87"/>
  <c r="T7" i="87"/>
  <c r="S7" i="87"/>
  <c r="Y6" i="87"/>
  <c r="S6" i="87"/>
  <c r="T6" i="87" s="1"/>
  <c r="U6" i="87" s="1"/>
  <c r="Y5" i="87"/>
  <c r="T5" i="87"/>
  <c r="S5" i="87"/>
  <c r="AD4" i="87"/>
  <c r="Z4" i="87"/>
  <c r="Y4" i="87"/>
  <c r="Q4" i="87"/>
  <c r="P4" i="87"/>
  <c r="B1" i="87"/>
  <c r="Y114" i="85"/>
  <c r="R114" i="85"/>
  <c r="K114" i="85"/>
  <c r="K115" i="85" s="1"/>
  <c r="Y92" i="85"/>
  <c r="T92" i="85"/>
  <c r="Q92" i="85"/>
  <c r="G92" i="85"/>
  <c r="Y70" i="85"/>
  <c r="T70" i="85"/>
  <c r="Q70" i="85"/>
  <c r="T50" i="85"/>
  <c r="U50" i="85" s="1"/>
  <c r="S50" i="85"/>
  <c r="U49" i="85"/>
  <c r="T49" i="85"/>
  <c r="S49" i="85"/>
  <c r="Y48" i="85"/>
  <c r="Z48" i="85" s="1"/>
  <c r="T48" i="85"/>
  <c r="Q48" i="85"/>
  <c r="P48" i="85"/>
  <c r="G48" i="85"/>
  <c r="G70" i="85" s="1"/>
  <c r="C48" i="85"/>
  <c r="C70" i="85" s="1"/>
  <c r="C92" i="85" s="1"/>
  <c r="B48" i="85"/>
  <c r="B70" i="85" s="1"/>
  <c r="B92" i="85" s="1"/>
  <c r="U38" i="85"/>
  <c r="S38" i="85"/>
  <c r="T38" i="85" s="1"/>
  <c r="S37" i="85"/>
  <c r="T37" i="85" s="1"/>
  <c r="U37" i="85" s="1"/>
  <c r="T36" i="85"/>
  <c r="U36" i="85" s="1"/>
  <c r="S36" i="85"/>
  <c r="T35" i="85"/>
  <c r="U35" i="85" s="1"/>
  <c r="S35" i="85"/>
  <c r="S34" i="85"/>
  <c r="T34" i="85" s="1"/>
  <c r="U34" i="85" s="1"/>
  <c r="T33" i="85"/>
  <c r="U33" i="85" s="1"/>
  <c r="S33" i="85"/>
  <c r="S32" i="85"/>
  <c r="T31" i="85"/>
  <c r="U31" i="85" s="1"/>
  <c r="S31" i="85"/>
  <c r="T32" i="85" s="1"/>
  <c r="U32" i="85" s="1"/>
  <c r="U30" i="85"/>
  <c r="S30" i="85"/>
  <c r="T30" i="85" s="1"/>
  <c r="S29" i="85"/>
  <c r="T29" i="85" s="1"/>
  <c r="U29" i="85" s="1"/>
  <c r="Y28" i="85"/>
  <c r="U28" i="85"/>
  <c r="T28" i="85"/>
  <c r="S28" i="85"/>
  <c r="Y27" i="85"/>
  <c r="S27" i="85"/>
  <c r="T27" i="85" s="1"/>
  <c r="AD26" i="85"/>
  <c r="Z26" i="85"/>
  <c r="Y26" i="85"/>
  <c r="Q26" i="85"/>
  <c r="P26" i="85"/>
  <c r="G26" i="85"/>
  <c r="F26" i="85"/>
  <c r="F48" i="85" s="1"/>
  <c r="F70" i="85" s="1"/>
  <c r="F92" i="85" s="1"/>
  <c r="E26" i="85"/>
  <c r="E48" i="85" s="1"/>
  <c r="E70" i="85" s="1"/>
  <c r="E92" i="85" s="1"/>
  <c r="D26" i="85"/>
  <c r="D48" i="85" s="1"/>
  <c r="D70" i="85" s="1"/>
  <c r="D92" i="85" s="1"/>
  <c r="C26" i="85"/>
  <c r="B26" i="85"/>
  <c r="S17" i="85"/>
  <c r="T16" i="85"/>
  <c r="U16" i="85" s="1"/>
  <c r="S16" i="85"/>
  <c r="T17" i="85" s="1"/>
  <c r="U17" i="85" s="1"/>
  <c r="U15" i="85"/>
  <c r="S15" i="85"/>
  <c r="T15" i="85" s="1"/>
  <c r="S14" i="85"/>
  <c r="T14" i="85" s="1"/>
  <c r="U14" i="85" s="1"/>
  <c r="T13" i="85"/>
  <c r="U13" i="85" s="1"/>
  <c r="S13" i="85"/>
  <c r="T12" i="85"/>
  <c r="U12" i="85" s="1"/>
  <c r="S12" i="85"/>
  <c r="S11" i="85"/>
  <c r="T11" i="85" s="1"/>
  <c r="U11" i="85" s="1"/>
  <c r="T10" i="85"/>
  <c r="U10" i="85" s="1"/>
  <c r="S10" i="85"/>
  <c r="S9" i="85"/>
  <c r="T8" i="85"/>
  <c r="U8" i="85" s="1"/>
  <c r="S8" i="85"/>
  <c r="T9" i="85" s="1"/>
  <c r="U9" i="85" s="1"/>
  <c r="U7" i="85"/>
  <c r="S7" i="85"/>
  <c r="T7" i="85" s="1"/>
  <c r="S6" i="85"/>
  <c r="T6" i="85" s="1"/>
  <c r="U6" i="85" s="1"/>
  <c r="Y5" i="85"/>
  <c r="U5" i="85"/>
  <c r="T5" i="85"/>
  <c r="S5" i="85"/>
  <c r="AD4" i="85"/>
  <c r="Z4" i="85"/>
  <c r="Y4" i="85"/>
  <c r="Q4" i="85"/>
  <c r="P4" i="85"/>
  <c r="B1" i="85"/>
  <c r="R114" i="71"/>
  <c r="K114" i="71"/>
  <c r="K115" i="71" s="1"/>
  <c r="Y92" i="71"/>
  <c r="T92" i="71"/>
  <c r="Q92" i="71"/>
  <c r="Y70" i="71"/>
  <c r="Y114" i="71" s="1"/>
  <c r="T70" i="71"/>
  <c r="Q70" i="71"/>
  <c r="U50" i="71"/>
  <c r="T50" i="71"/>
  <c r="T48" i="71" s="1"/>
  <c r="S50" i="71"/>
  <c r="U49" i="71"/>
  <c r="T49" i="71"/>
  <c r="S49" i="71"/>
  <c r="Y48" i="71"/>
  <c r="Q48" i="71"/>
  <c r="E48" i="71"/>
  <c r="E70" i="71" s="1"/>
  <c r="E92" i="71" s="1"/>
  <c r="T38" i="71"/>
  <c r="U38" i="71" s="1"/>
  <c r="S38" i="71"/>
  <c r="S37" i="71"/>
  <c r="S36" i="71"/>
  <c r="T36" i="71" s="1"/>
  <c r="U36" i="71" s="1"/>
  <c r="T35" i="71"/>
  <c r="U35" i="71" s="1"/>
  <c r="S35" i="71"/>
  <c r="U34" i="71"/>
  <c r="S34" i="71"/>
  <c r="T33" i="71"/>
  <c r="U33" i="71" s="1"/>
  <c r="S33" i="71"/>
  <c r="T34" i="71" s="1"/>
  <c r="U32" i="71"/>
  <c r="S32" i="71"/>
  <c r="T32" i="71" s="1"/>
  <c r="S31" i="71"/>
  <c r="T30" i="71"/>
  <c r="U30" i="71" s="1"/>
  <c r="S30" i="71"/>
  <c r="T29" i="71"/>
  <c r="U29" i="71" s="1"/>
  <c r="S29" i="71"/>
  <c r="Y28" i="71"/>
  <c r="S28" i="71"/>
  <c r="T28" i="71" s="1"/>
  <c r="U28" i="71" s="1"/>
  <c r="Y27" i="71"/>
  <c r="T27" i="71"/>
  <c r="S27" i="71"/>
  <c r="AD26" i="71"/>
  <c r="Y26" i="71"/>
  <c r="Z26" i="71" s="1"/>
  <c r="Q26" i="71"/>
  <c r="P26" i="71"/>
  <c r="G26" i="71"/>
  <c r="G48" i="71" s="1"/>
  <c r="G70" i="71" s="1"/>
  <c r="G92" i="71" s="1"/>
  <c r="F26" i="71"/>
  <c r="F48" i="71" s="1"/>
  <c r="F70" i="71" s="1"/>
  <c r="F92" i="71" s="1"/>
  <c r="E26" i="71"/>
  <c r="D26" i="71"/>
  <c r="D48" i="71" s="1"/>
  <c r="D70" i="71" s="1"/>
  <c r="D92" i="71" s="1"/>
  <c r="C26" i="71"/>
  <c r="C48" i="71" s="1"/>
  <c r="C70" i="71" s="1"/>
  <c r="C92" i="71" s="1"/>
  <c r="B26" i="71"/>
  <c r="B48" i="71" s="1"/>
  <c r="B70" i="71" s="1"/>
  <c r="B92" i="71" s="1"/>
  <c r="S14" i="71"/>
  <c r="S13" i="71"/>
  <c r="T13" i="71" s="1"/>
  <c r="U13" i="71" s="1"/>
  <c r="U12" i="71"/>
  <c r="T12" i="71"/>
  <c r="S12" i="71"/>
  <c r="T11" i="71"/>
  <c r="U11" i="71" s="1"/>
  <c r="S11" i="71"/>
  <c r="T10" i="71"/>
  <c r="U10" i="71" s="1"/>
  <c r="S10" i="71"/>
  <c r="U9" i="71"/>
  <c r="T9" i="71"/>
  <c r="S9" i="71"/>
  <c r="S8" i="71"/>
  <c r="S7" i="71"/>
  <c r="T8" i="71" s="1"/>
  <c r="U8" i="71" s="1"/>
  <c r="U6" i="71"/>
  <c r="S6" i="71"/>
  <c r="T6" i="71" s="1"/>
  <c r="Y5" i="71"/>
  <c r="S5" i="71"/>
  <c r="T5" i="71" s="1"/>
  <c r="U5" i="71" s="1"/>
  <c r="AD4" i="71"/>
  <c r="Z4" i="71"/>
  <c r="Y4" i="71"/>
  <c r="Q4" i="71"/>
  <c r="P4" i="71"/>
  <c r="B1" i="71"/>
  <c r="K115" i="76"/>
  <c r="R114" i="76"/>
  <c r="K114" i="76"/>
  <c r="Y92" i="76"/>
  <c r="Y114" i="76" s="1"/>
  <c r="T92" i="76"/>
  <c r="Q92" i="76"/>
  <c r="Y70" i="76"/>
  <c r="T70" i="76"/>
  <c r="Q70" i="76"/>
  <c r="C70" i="76"/>
  <c r="C92" i="76" s="1"/>
  <c r="T50" i="76"/>
  <c r="S50" i="76"/>
  <c r="U49" i="76"/>
  <c r="T49" i="76"/>
  <c r="S49" i="76"/>
  <c r="Y48" i="76"/>
  <c r="Q48" i="76"/>
  <c r="G48" i="76"/>
  <c r="G70" i="76" s="1"/>
  <c r="G92" i="76" s="1"/>
  <c r="E48" i="76"/>
  <c r="E70" i="76" s="1"/>
  <c r="E92" i="76" s="1"/>
  <c r="U37" i="76"/>
  <c r="T36" i="76"/>
  <c r="U36" i="76" s="1"/>
  <c r="S36" i="76"/>
  <c r="U35" i="76"/>
  <c r="T35" i="76"/>
  <c r="S35" i="76"/>
  <c r="S34" i="76"/>
  <c r="S33" i="76"/>
  <c r="S32" i="76"/>
  <c r="S31" i="76"/>
  <c r="T31" i="76" s="1"/>
  <c r="U31" i="76" s="1"/>
  <c r="S30" i="76"/>
  <c r="T29" i="76"/>
  <c r="U29" i="76" s="1"/>
  <c r="S29" i="76"/>
  <c r="T30" i="76" s="1"/>
  <c r="U30" i="76" s="1"/>
  <c r="Y28" i="76"/>
  <c r="S28" i="76"/>
  <c r="Y27" i="76"/>
  <c r="S27" i="76"/>
  <c r="AD26" i="76"/>
  <c r="Z26" i="76"/>
  <c r="Y26" i="76"/>
  <c r="Q26" i="76"/>
  <c r="P26" i="76"/>
  <c r="G26" i="76"/>
  <c r="F26" i="76"/>
  <c r="F48" i="76" s="1"/>
  <c r="F70" i="76" s="1"/>
  <c r="F92" i="76" s="1"/>
  <c r="E26" i="76"/>
  <c r="D26" i="76"/>
  <c r="D48" i="76" s="1"/>
  <c r="D70" i="76" s="1"/>
  <c r="D92" i="76" s="1"/>
  <c r="C26" i="76"/>
  <c r="C48" i="76" s="1"/>
  <c r="B26" i="76"/>
  <c r="B48" i="76" s="1"/>
  <c r="B70" i="76" s="1"/>
  <c r="B92" i="76" s="1"/>
  <c r="S16" i="76"/>
  <c r="S15" i="76"/>
  <c r="T15" i="76" s="1"/>
  <c r="U15" i="76" s="1"/>
  <c r="U14" i="76"/>
  <c r="T14" i="76"/>
  <c r="S14" i="76"/>
  <c r="T13" i="76"/>
  <c r="U13" i="76" s="1"/>
  <c r="S13" i="76"/>
  <c r="T12" i="76"/>
  <c r="U12" i="76" s="1"/>
  <c r="S12" i="76"/>
  <c r="U11" i="76"/>
  <c r="T11" i="76"/>
  <c r="S11" i="76"/>
  <c r="S10" i="76"/>
  <c r="S9" i="76"/>
  <c r="S8" i="76"/>
  <c r="S7" i="76"/>
  <c r="T7" i="76" s="1"/>
  <c r="U7" i="76" s="1"/>
  <c r="T6" i="76"/>
  <c r="U6" i="76" s="1"/>
  <c r="S6" i="76"/>
  <c r="Y5" i="76"/>
  <c r="U5" i="76"/>
  <c r="T5" i="76"/>
  <c r="S5" i="76"/>
  <c r="AD4" i="76"/>
  <c r="Y4" i="76"/>
  <c r="Z4" i="76" s="1"/>
  <c r="Q4" i="76"/>
  <c r="P4" i="76"/>
  <c r="B1" i="76"/>
  <c r="R114" i="97"/>
  <c r="K114" i="97"/>
  <c r="K115" i="97" s="1"/>
  <c r="Y92" i="97"/>
  <c r="Y114" i="97" s="1"/>
  <c r="T92" i="97"/>
  <c r="Q92" i="97"/>
  <c r="Y70" i="97"/>
  <c r="T70" i="97"/>
  <c r="Q70" i="97"/>
  <c r="F70" i="97"/>
  <c r="F92" i="97" s="1"/>
  <c r="T50" i="97"/>
  <c r="U50" i="97" s="1"/>
  <c r="S50" i="97"/>
  <c r="U49" i="97"/>
  <c r="T49" i="97"/>
  <c r="T48" i="97" s="1"/>
  <c r="S49" i="97"/>
  <c r="Y48" i="97"/>
  <c r="Q48" i="97"/>
  <c r="C48" i="97"/>
  <c r="C70" i="97" s="1"/>
  <c r="C92" i="97" s="1"/>
  <c r="U37" i="97"/>
  <c r="S36" i="97"/>
  <c r="S35" i="97"/>
  <c r="S34" i="97"/>
  <c r="S33" i="97"/>
  <c r="T33" i="97" s="1"/>
  <c r="U33" i="97" s="1"/>
  <c r="S32" i="97"/>
  <c r="T31" i="97"/>
  <c r="U31" i="97" s="1"/>
  <c r="S31" i="97"/>
  <c r="T32" i="97" s="1"/>
  <c r="U32" i="97" s="1"/>
  <c r="T30" i="97"/>
  <c r="U30" i="97" s="1"/>
  <c r="S30" i="97"/>
  <c r="S29" i="97"/>
  <c r="Y28" i="97"/>
  <c r="U28" i="97"/>
  <c r="S28" i="97"/>
  <c r="T28" i="97" s="1"/>
  <c r="Y27" i="97"/>
  <c r="T27" i="97"/>
  <c r="U27" i="97" s="1"/>
  <c r="S27" i="97"/>
  <c r="AD26" i="97"/>
  <c r="Z26" i="97"/>
  <c r="Y26" i="97"/>
  <c r="Q26" i="97"/>
  <c r="P26" i="97"/>
  <c r="G26" i="97"/>
  <c r="G48" i="97" s="1"/>
  <c r="G70" i="97" s="1"/>
  <c r="G92" i="97" s="1"/>
  <c r="F26" i="97"/>
  <c r="F48" i="97" s="1"/>
  <c r="E26" i="97"/>
  <c r="E48" i="97" s="1"/>
  <c r="E70" i="97" s="1"/>
  <c r="E92" i="97" s="1"/>
  <c r="D26" i="97"/>
  <c r="D48" i="97" s="1"/>
  <c r="D70" i="97" s="1"/>
  <c r="D92" i="97" s="1"/>
  <c r="C26" i="97"/>
  <c r="B26" i="97"/>
  <c r="B48" i="97" s="1"/>
  <c r="B70" i="97" s="1"/>
  <c r="B92" i="97" s="1"/>
  <c r="S7" i="97"/>
  <c r="T7" i="97" s="1"/>
  <c r="Q7" i="97"/>
  <c r="T6" i="97"/>
  <c r="S6" i="97"/>
  <c r="Q6" i="97"/>
  <c r="U6" i="97" s="1"/>
  <c r="Y5" i="97"/>
  <c r="T5" i="97"/>
  <c r="U5" i="97" s="1"/>
  <c r="S5" i="97"/>
  <c r="Q5" i="97"/>
  <c r="Q4" i="97" s="1"/>
  <c r="AD4" i="97"/>
  <c r="Y4" i="97"/>
  <c r="Z4" i="97" s="1"/>
  <c r="P4" i="97"/>
  <c r="B1" i="97"/>
  <c r="R114" i="63"/>
  <c r="K114" i="63"/>
  <c r="K115" i="63" s="1"/>
  <c r="Y92" i="63"/>
  <c r="T92" i="63"/>
  <c r="Q92" i="63"/>
  <c r="Y70" i="63"/>
  <c r="T70" i="63"/>
  <c r="Q70" i="63"/>
  <c r="U50" i="63"/>
  <c r="S50" i="63"/>
  <c r="T50" i="63" s="1"/>
  <c r="U49" i="63"/>
  <c r="S49" i="63"/>
  <c r="T49" i="63" s="1"/>
  <c r="T48" i="63" s="1"/>
  <c r="Y48" i="63"/>
  <c r="Q48" i="63"/>
  <c r="E48" i="63"/>
  <c r="E70" i="63" s="1"/>
  <c r="E92" i="63" s="1"/>
  <c r="C48" i="63"/>
  <c r="C70" i="63" s="1"/>
  <c r="C92" i="63" s="1"/>
  <c r="U37" i="63"/>
  <c r="S36" i="63"/>
  <c r="S35" i="63"/>
  <c r="T35" i="63" s="1"/>
  <c r="U35" i="63" s="1"/>
  <c r="S34" i="63"/>
  <c r="S33" i="63"/>
  <c r="T34" i="63" s="1"/>
  <c r="U34" i="63" s="1"/>
  <c r="T32" i="63"/>
  <c r="U32" i="63" s="1"/>
  <c r="S32" i="63"/>
  <c r="S31" i="63"/>
  <c r="T31" i="63" s="1"/>
  <c r="U31" i="63" s="1"/>
  <c r="T30" i="63"/>
  <c r="U30" i="63" s="1"/>
  <c r="S30" i="63"/>
  <c r="U29" i="63"/>
  <c r="T29" i="63"/>
  <c r="S29" i="63"/>
  <c r="Y28" i="63"/>
  <c r="S28" i="63"/>
  <c r="T28" i="63" s="1"/>
  <c r="U28" i="63" s="1"/>
  <c r="Y27" i="63"/>
  <c r="U27" i="63"/>
  <c r="T27" i="63"/>
  <c r="S27" i="63"/>
  <c r="AD26" i="63"/>
  <c r="Z26" i="63"/>
  <c r="Y26" i="63"/>
  <c r="Q26" i="63"/>
  <c r="P26" i="63"/>
  <c r="G26" i="63"/>
  <c r="G48" i="63" s="1"/>
  <c r="G70" i="63" s="1"/>
  <c r="G92" i="63" s="1"/>
  <c r="F26" i="63"/>
  <c r="F48" i="63" s="1"/>
  <c r="F70" i="63" s="1"/>
  <c r="F92" i="63" s="1"/>
  <c r="E26" i="63"/>
  <c r="D26" i="63"/>
  <c r="D48" i="63" s="1"/>
  <c r="D70" i="63" s="1"/>
  <c r="D92" i="63" s="1"/>
  <c r="C26" i="63"/>
  <c r="B26" i="63"/>
  <c r="B48" i="63" s="1"/>
  <c r="B70" i="63" s="1"/>
  <c r="B92" i="63" s="1"/>
  <c r="T16" i="63"/>
  <c r="U16" i="63" s="1"/>
  <c r="S16" i="63"/>
  <c r="S15" i="63"/>
  <c r="T15" i="63" s="1"/>
  <c r="U15" i="63" s="1"/>
  <c r="T14" i="63"/>
  <c r="U14" i="63" s="1"/>
  <c r="S14" i="63"/>
  <c r="U13" i="63"/>
  <c r="T13" i="63"/>
  <c r="S13" i="63"/>
  <c r="S12" i="63"/>
  <c r="S11" i="63"/>
  <c r="S10" i="63"/>
  <c r="S9" i="63"/>
  <c r="T10" i="63" s="1"/>
  <c r="U10" i="63" s="1"/>
  <c r="T8" i="63"/>
  <c r="U8" i="63" s="1"/>
  <c r="S8" i="63"/>
  <c r="S7" i="63"/>
  <c r="T7" i="63" s="1"/>
  <c r="U7" i="63" s="1"/>
  <c r="T6" i="63"/>
  <c r="U6" i="63" s="1"/>
  <c r="S6" i="63"/>
  <c r="Y5" i="63"/>
  <c r="U5" i="63"/>
  <c r="T5" i="63"/>
  <c r="S5" i="63"/>
  <c r="AD4" i="63"/>
  <c r="Y4" i="63"/>
  <c r="Z4" i="63" s="1"/>
  <c r="Q4" i="63"/>
  <c r="P4" i="63"/>
  <c r="B1" i="63"/>
  <c r="R114" i="65"/>
  <c r="K114" i="65"/>
  <c r="K115" i="65" s="1"/>
  <c r="Y92" i="65"/>
  <c r="T92" i="65"/>
  <c r="Q92" i="65"/>
  <c r="Y70" i="65"/>
  <c r="Y114" i="65" s="1"/>
  <c r="T70" i="65"/>
  <c r="Q70" i="65"/>
  <c r="B70" i="65"/>
  <c r="B92" i="65" s="1"/>
  <c r="S50" i="65"/>
  <c r="S49" i="65"/>
  <c r="T50" i="65" s="1"/>
  <c r="U50" i="65" s="1"/>
  <c r="Y48" i="65"/>
  <c r="Q48" i="65"/>
  <c r="G48" i="65"/>
  <c r="G70" i="65" s="1"/>
  <c r="G92" i="65" s="1"/>
  <c r="E48" i="65"/>
  <c r="E70" i="65" s="1"/>
  <c r="E92" i="65" s="1"/>
  <c r="C48" i="65"/>
  <c r="C70" i="65" s="1"/>
  <c r="C92" i="65" s="1"/>
  <c r="U38" i="65"/>
  <c r="T38" i="65"/>
  <c r="S38" i="65"/>
  <c r="S37" i="65"/>
  <c r="S36" i="65"/>
  <c r="S35" i="65"/>
  <c r="S34" i="65"/>
  <c r="T35" i="65" s="1"/>
  <c r="U35" i="65" s="1"/>
  <c r="T33" i="65"/>
  <c r="U33" i="65" s="1"/>
  <c r="S33" i="65"/>
  <c r="S32" i="65"/>
  <c r="T32" i="65" s="1"/>
  <c r="U32" i="65" s="1"/>
  <c r="T31" i="65"/>
  <c r="U31" i="65" s="1"/>
  <c r="S31" i="65"/>
  <c r="U30" i="65"/>
  <c r="T30" i="65"/>
  <c r="S30" i="65"/>
  <c r="S29" i="65"/>
  <c r="S28" i="65"/>
  <c r="Y27" i="65"/>
  <c r="S27" i="65"/>
  <c r="T27" i="65" s="1"/>
  <c r="U27" i="65" s="1"/>
  <c r="AD26" i="65"/>
  <c r="Z26" i="65"/>
  <c r="Y26" i="65"/>
  <c r="Q26" i="65"/>
  <c r="P26" i="65"/>
  <c r="G26" i="65"/>
  <c r="F26" i="65"/>
  <c r="F48" i="65" s="1"/>
  <c r="F70" i="65" s="1"/>
  <c r="F92" i="65" s="1"/>
  <c r="E26" i="65"/>
  <c r="D26" i="65"/>
  <c r="D48" i="65" s="1"/>
  <c r="D70" i="65" s="1"/>
  <c r="D92" i="65" s="1"/>
  <c r="C26" i="65"/>
  <c r="B26" i="65"/>
  <c r="B48" i="65" s="1"/>
  <c r="S16" i="65"/>
  <c r="S15" i="65"/>
  <c r="T16" i="65" s="1"/>
  <c r="U16" i="65" s="1"/>
  <c r="T14" i="65"/>
  <c r="U14" i="65" s="1"/>
  <c r="S14" i="65"/>
  <c r="S13" i="65"/>
  <c r="T13" i="65" s="1"/>
  <c r="U13" i="65" s="1"/>
  <c r="T12" i="65"/>
  <c r="U12" i="65" s="1"/>
  <c r="S12" i="65"/>
  <c r="U11" i="65"/>
  <c r="T11" i="65"/>
  <c r="S11" i="65"/>
  <c r="S10" i="65"/>
  <c r="S9" i="65"/>
  <c r="S8" i="65"/>
  <c r="S7" i="65"/>
  <c r="T8" i="65" s="1"/>
  <c r="U8" i="65" s="1"/>
  <c r="T6" i="65"/>
  <c r="S6" i="65"/>
  <c r="Y5" i="65"/>
  <c r="T5" i="65"/>
  <c r="U5" i="65" s="1"/>
  <c r="S5" i="65"/>
  <c r="AD4" i="65"/>
  <c r="Y4" i="65"/>
  <c r="Z4" i="65" s="1"/>
  <c r="Q4" i="65"/>
  <c r="P4" i="65"/>
  <c r="B1" i="65"/>
  <c r="R114" i="90"/>
  <c r="K114" i="90"/>
  <c r="K115" i="90" s="1"/>
  <c r="Y92" i="90"/>
  <c r="T92" i="90"/>
  <c r="Q92" i="90"/>
  <c r="C92" i="90"/>
  <c r="Y70" i="90"/>
  <c r="T70" i="90"/>
  <c r="Q70" i="90"/>
  <c r="D70" i="90"/>
  <c r="D92" i="90" s="1"/>
  <c r="S50" i="90"/>
  <c r="S49" i="90"/>
  <c r="Y48" i="90"/>
  <c r="Q48" i="90"/>
  <c r="E48" i="90"/>
  <c r="E70" i="90" s="1"/>
  <c r="E92" i="90" s="1"/>
  <c r="C48" i="90"/>
  <c r="C70" i="90" s="1"/>
  <c r="B48" i="90"/>
  <c r="B70" i="90" s="1"/>
  <c r="B92" i="90" s="1"/>
  <c r="U37" i="90"/>
  <c r="S36" i="90"/>
  <c r="S35" i="90"/>
  <c r="S34" i="90"/>
  <c r="S33" i="90"/>
  <c r="T34" i="90" s="1"/>
  <c r="U34" i="90" s="1"/>
  <c r="T32" i="90"/>
  <c r="U32" i="90" s="1"/>
  <c r="S32" i="90"/>
  <c r="S31" i="90"/>
  <c r="T31" i="90" s="1"/>
  <c r="U31" i="90" s="1"/>
  <c r="T30" i="90"/>
  <c r="U30" i="90" s="1"/>
  <c r="S30" i="90"/>
  <c r="U29" i="90"/>
  <c r="T29" i="90"/>
  <c r="S29" i="90"/>
  <c r="Y28" i="90"/>
  <c r="S28" i="90"/>
  <c r="T28" i="90" s="1"/>
  <c r="U28" i="90" s="1"/>
  <c r="Y27" i="90"/>
  <c r="U27" i="90"/>
  <c r="T27" i="90"/>
  <c r="S27" i="90"/>
  <c r="AD26" i="90"/>
  <c r="Z26" i="90"/>
  <c r="Y26" i="90"/>
  <c r="Q26" i="90"/>
  <c r="P26" i="90"/>
  <c r="G26" i="90"/>
  <c r="G48" i="90" s="1"/>
  <c r="G70" i="90" s="1"/>
  <c r="G92" i="90" s="1"/>
  <c r="F26" i="90"/>
  <c r="F48" i="90" s="1"/>
  <c r="F70" i="90" s="1"/>
  <c r="F92" i="90" s="1"/>
  <c r="E26" i="90"/>
  <c r="D26" i="90"/>
  <c r="D48" i="90" s="1"/>
  <c r="C26" i="90"/>
  <c r="B26" i="90"/>
  <c r="T6" i="90"/>
  <c r="S6" i="90"/>
  <c r="Y5" i="90"/>
  <c r="T5" i="90"/>
  <c r="U5" i="90" s="1"/>
  <c r="S5" i="90"/>
  <c r="AD4" i="90"/>
  <c r="Y4" i="90"/>
  <c r="Z4" i="90" s="1"/>
  <c r="Q4" i="90"/>
  <c r="P4" i="90"/>
  <c r="B1" i="90"/>
  <c r="R114" i="69"/>
  <c r="K114" i="69"/>
  <c r="K115" i="69" s="1"/>
  <c r="Y92" i="69"/>
  <c r="Y114" i="69" s="1"/>
  <c r="T92" i="69"/>
  <c r="Q92" i="69"/>
  <c r="Y70" i="69"/>
  <c r="T70" i="69"/>
  <c r="Q70" i="69"/>
  <c r="S50" i="69"/>
  <c r="S49" i="69"/>
  <c r="Y48" i="69"/>
  <c r="Q48" i="69"/>
  <c r="E48" i="69"/>
  <c r="E70" i="69" s="1"/>
  <c r="E92" i="69" s="1"/>
  <c r="C48" i="69"/>
  <c r="C70" i="69" s="1"/>
  <c r="C92" i="69" s="1"/>
  <c r="B48" i="69"/>
  <c r="B70" i="69" s="1"/>
  <c r="B92" i="69" s="1"/>
  <c r="U37" i="69"/>
  <c r="S36" i="69"/>
  <c r="S35" i="69"/>
  <c r="S34" i="69"/>
  <c r="S33" i="69"/>
  <c r="T34" i="69" s="1"/>
  <c r="U34" i="69" s="1"/>
  <c r="T32" i="69"/>
  <c r="U32" i="69" s="1"/>
  <c r="S32" i="69"/>
  <c r="S31" i="69"/>
  <c r="T31" i="69" s="1"/>
  <c r="U31" i="69" s="1"/>
  <c r="T30" i="69"/>
  <c r="U30" i="69" s="1"/>
  <c r="S30" i="69"/>
  <c r="U29" i="69"/>
  <c r="T29" i="69"/>
  <c r="S29" i="69"/>
  <c r="Y28" i="69"/>
  <c r="S28" i="69"/>
  <c r="T28" i="69" s="1"/>
  <c r="U28" i="69" s="1"/>
  <c r="Y27" i="69"/>
  <c r="U27" i="69"/>
  <c r="T27" i="69"/>
  <c r="S27" i="69"/>
  <c r="AD26" i="69"/>
  <c r="Z26" i="69"/>
  <c r="Y26" i="69"/>
  <c r="Q26" i="69"/>
  <c r="P26" i="69"/>
  <c r="G26" i="69"/>
  <c r="G48" i="69" s="1"/>
  <c r="G70" i="69" s="1"/>
  <c r="G92" i="69" s="1"/>
  <c r="F26" i="69"/>
  <c r="F48" i="69" s="1"/>
  <c r="F70" i="69" s="1"/>
  <c r="F92" i="69" s="1"/>
  <c r="E26" i="69"/>
  <c r="D26" i="69"/>
  <c r="D48" i="69" s="1"/>
  <c r="D70" i="69" s="1"/>
  <c r="D92" i="69" s="1"/>
  <c r="C26" i="69"/>
  <c r="B26" i="69"/>
  <c r="T11" i="69"/>
  <c r="U11" i="69" s="1"/>
  <c r="S11" i="69"/>
  <c r="S10" i="69"/>
  <c r="T10" i="69" s="1"/>
  <c r="U10" i="69" s="1"/>
  <c r="T9" i="69"/>
  <c r="U9" i="69" s="1"/>
  <c r="S9" i="69"/>
  <c r="U8" i="69"/>
  <c r="T8" i="69"/>
  <c r="S8" i="69"/>
  <c r="S7" i="69"/>
  <c r="S6" i="69"/>
  <c r="Y5" i="69"/>
  <c r="S5" i="69"/>
  <c r="T5" i="69" s="1"/>
  <c r="U5" i="69" s="1"/>
  <c r="AD4" i="69"/>
  <c r="Z4" i="69"/>
  <c r="Y4" i="69"/>
  <c r="Q4" i="69"/>
  <c r="P4" i="69"/>
  <c r="B1" i="69"/>
  <c r="K115" i="68"/>
  <c r="R114" i="68"/>
  <c r="K114" i="68"/>
  <c r="Y92" i="68"/>
  <c r="T92" i="68"/>
  <c r="Q92" i="68"/>
  <c r="B92" i="68"/>
  <c r="Y70" i="68"/>
  <c r="T70" i="68"/>
  <c r="Q70" i="68"/>
  <c r="S50" i="68"/>
  <c r="T50" i="68" s="1"/>
  <c r="T49" i="68"/>
  <c r="U49" i="68" s="1"/>
  <c r="S49" i="68"/>
  <c r="Y48" i="68"/>
  <c r="Q48" i="68"/>
  <c r="D48" i="68"/>
  <c r="D70" i="68" s="1"/>
  <c r="D92" i="68" s="1"/>
  <c r="B48" i="68"/>
  <c r="B70" i="68" s="1"/>
  <c r="U37" i="68"/>
  <c r="S36" i="68"/>
  <c r="T36" i="68" s="1"/>
  <c r="U36" i="68" s="1"/>
  <c r="T35" i="68"/>
  <c r="U35" i="68" s="1"/>
  <c r="S35" i="68"/>
  <c r="U34" i="68"/>
  <c r="T34" i="68"/>
  <c r="S34" i="68"/>
  <c r="S33" i="68"/>
  <c r="S32" i="68"/>
  <c r="S31" i="68"/>
  <c r="S30" i="68"/>
  <c r="T31" i="68" s="1"/>
  <c r="U31" i="68" s="1"/>
  <c r="T29" i="68"/>
  <c r="U29" i="68" s="1"/>
  <c r="S29" i="68"/>
  <c r="Y28" i="68"/>
  <c r="S28" i="68"/>
  <c r="Y27" i="68"/>
  <c r="T27" i="68"/>
  <c r="S27" i="68"/>
  <c r="T28" i="68" s="1"/>
  <c r="U28" i="68" s="1"/>
  <c r="AD26" i="68"/>
  <c r="Y26" i="68"/>
  <c r="Z26" i="68" s="1"/>
  <c r="Q26" i="68"/>
  <c r="P26" i="68"/>
  <c r="G26" i="68"/>
  <c r="G48" i="68" s="1"/>
  <c r="G70" i="68" s="1"/>
  <c r="G92" i="68" s="1"/>
  <c r="F26" i="68"/>
  <c r="F48" i="68" s="1"/>
  <c r="F70" i="68" s="1"/>
  <c r="F92" i="68" s="1"/>
  <c r="E26" i="68"/>
  <c r="E48" i="68" s="1"/>
  <c r="E70" i="68" s="1"/>
  <c r="E92" i="68" s="1"/>
  <c r="D26" i="68"/>
  <c r="C26" i="68"/>
  <c r="C48" i="68" s="1"/>
  <c r="C70" i="68" s="1"/>
  <c r="C92" i="68" s="1"/>
  <c r="B26" i="68"/>
  <c r="S8" i="68"/>
  <c r="T8" i="68" s="1"/>
  <c r="U8" i="68" s="1"/>
  <c r="S7" i="68"/>
  <c r="S6" i="68"/>
  <c r="T7" i="68" s="1"/>
  <c r="U7" i="68" s="1"/>
  <c r="Y5" i="68"/>
  <c r="U5" i="68"/>
  <c r="T5" i="68"/>
  <c r="S5" i="68"/>
  <c r="AD4" i="68"/>
  <c r="Z4" i="68"/>
  <c r="Y4" i="68"/>
  <c r="Q4" i="68"/>
  <c r="P4" i="68"/>
  <c r="B1" i="68"/>
  <c r="K115" i="55"/>
  <c r="R114" i="55"/>
  <c r="K114" i="55"/>
  <c r="Y92" i="55"/>
  <c r="T92" i="55"/>
  <c r="Q92" i="55"/>
  <c r="Y70" i="55"/>
  <c r="T70" i="55"/>
  <c r="Q70" i="55"/>
  <c r="U53" i="55"/>
  <c r="T53" i="55"/>
  <c r="S53" i="55"/>
  <c r="S52" i="55"/>
  <c r="S51" i="55"/>
  <c r="S50" i="55"/>
  <c r="S49" i="55"/>
  <c r="T50" i="55" s="1"/>
  <c r="U50" i="55" s="1"/>
  <c r="Y48" i="55"/>
  <c r="Z48" i="55" s="1"/>
  <c r="Q48" i="55"/>
  <c r="P48" i="55"/>
  <c r="C48" i="55"/>
  <c r="C70" i="55" s="1"/>
  <c r="C92" i="55" s="1"/>
  <c r="S32" i="55"/>
  <c r="T32" i="55" s="1"/>
  <c r="U32" i="55" s="1"/>
  <c r="T31" i="55"/>
  <c r="U31" i="55" s="1"/>
  <c r="S31" i="55"/>
  <c r="U30" i="55"/>
  <c r="T30" i="55"/>
  <c r="S30" i="55"/>
  <c r="S29" i="55"/>
  <c r="Y28" i="55"/>
  <c r="T28" i="55"/>
  <c r="S28" i="55"/>
  <c r="T29" i="55" s="1"/>
  <c r="U29" i="55" s="1"/>
  <c r="Y27" i="55"/>
  <c r="T27" i="55"/>
  <c r="U27" i="55" s="1"/>
  <c r="S27" i="55"/>
  <c r="AD26" i="55"/>
  <c r="Y26" i="55"/>
  <c r="Z26" i="55" s="1"/>
  <c r="Q26" i="55"/>
  <c r="P26" i="55"/>
  <c r="G26" i="55"/>
  <c r="G48" i="55" s="1"/>
  <c r="G70" i="55" s="1"/>
  <c r="G92" i="55" s="1"/>
  <c r="F26" i="55"/>
  <c r="F48" i="55" s="1"/>
  <c r="F70" i="55" s="1"/>
  <c r="F92" i="55" s="1"/>
  <c r="E26" i="55"/>
  <c r="E48" i="55" s="1"/>
  <c r="E70" i="55" s="1"/>
  <c r="E92" i="55" s="1"/>
  <c r="D26" i="55"/>
  <c r="D48" i="55" s="1"/>
  <c r="D70" i="55" s="1"/>
  <c r="D92" i="55" s="1"/>
  <c r="C26" i="55"/>
  <c r="B26" i="55"/>
  <c r="B48" i="55" s="1"/>
  <c r="B70" i="55" s="1"/>
  <c r="B92" i="55" s="1"/>
  <c r="S16" i="55"/>
  <c r="T16" i="55" s="1"/>
  <c r="U16" i="55" s="1"/>
  <c r="T15" i="55"/>
  <c r="U15" i="55" s="1"/>
  <c r="S15" i="55"/>
  <c r="U14" i="55"/>
  <c r="T14" i="55"/>
  <c r="S14" i="55"/>
  <c r="S13" i="55"/>
  <c r="S12" i="55"/>
  <c r="S11" i="55"/>
  <c r="S10" i="55"/>
  <c r="T11" i="55" s="1"/>
  <c r="U11" i="55" s="1"/>
  <c r="T9" i="55"/>
  <c r="U9" i="55" s="1"/>
  <c r="S9" i="55"/>
  <c r="S8" i="55"/>
  <c r="T8" i="55" s="1"/>
  <c r="U8" i="55" s="1"/>
  <c r="T7" i="55"/>
  <c r="U7" i="55" s="1"/>
  <c r="S7" i="55"/>
  <c r="X6" i="55"/>
  <c r="U6" i="55"/>
  <c r="T6" i="55"/>
  <c r="S6" i="55"/>
  <c r="Y5" i="55"/>
  <c r="T5" i="55"/>
  <c r="S5" i="55"/>
  <c r="AD4" i="55"/>
  <c r="Z4" i="55"/>
  <c r="Q4" i="55"/>
  <c r="P4" i="55"/>
  <c r="B1" i="55"/>
  <c r="R114" i="67"/>
  <c r="K114" i="67"/>
  <c r="K115" i="67" s="1"/>
  <c r="Y92" i="67"/>
  <c r="Y114" i="67" s="1"/>
  <c r="T92" i="67"/>
  <c r="Q92" i="67"/>
  <c r="D92" i="67"/>
  <c r="Y70" i="67"/>
  <c r="T70" i="67"/>
  <c r="Q70" i="67"/>
  <c r="E70" i="67"/>
  <c r="E92" i="67" s="1"/>
  <c r="S50" i="67"/>
  <c r="T50" i="67" s="1"/>
  <c r="U50" i="67" s="1"/>
  <c r="T49" i="67"/>
  <c r="S49" i="67"/>
  <c r="Y48" i="67"/>
  <c r="Q48" i="67"/>
  <c r="F48" i="67"/>
  <c r="F70" i="67" s="1"/>
  <c r="F92" i="67" s="1"/>
  <c r="D48" i="67"/>
  <c r="D70" i="67" s="1"/>
  <c r="C48" i="67"/>
  <c r="C70" i="67" s="1"/>
  <c r="C92" i="67" s="1"/>
  <c r="B48" i="67"/>
  <c r="B70" i="67" s="1"/>
  <c r="B92" i="67" s="1"/>
  <c r="U37" i="67"/>
  <c r="S36" i="67"/>
  <c r="T36" i="67" s="1"/>
  <c r="U36" i="67" s="1"/>
  <c r="T35" i="67"/>
  <c r="U35" i="67" s="1"/>
  <c r="S35" i="67"/>
  <c r="S34" i="67"/>
  <c r="T34" i="67" s="1"/>
  <c r="U34" i="67" s="1"/>
  <c r="T33" i="67"/>
  <c r="U33" i="67" s="1"/>
  <c r="S33" i="67"/>
  <c r="U32" i="67"/>
  <c r="T32" i="67"/>
  <c r="S32" i="67"/>
  <c r="S31" i="67"/>
  <c r="S30" i="67"/>
  <c r="U29" i="67"/>
  <c r="T29" i="67"/>
  <c r="S29" i="67"/>
  <c r="Y28" i="67"/>
  <c r="T28" i="67"/>
  <c r="U28" i="67" s="1"/>
  <c r="S28" i="67"/>
  <c r="Y27" i="67"/>
  <c r="U27" i="67"/>
  <c r="T27" i="67"/>
  <c r="S27" i="67"/>
  <c r="AD26" i="67"/>
  <c r="Y26" i="67"/>
  <c r="Z26" i="67" s="1"/>
  <c r="Q26" i="67"/>
  <c r="P26" i="67"/>
  <c r="G26" i="67"/>
  <c r="G48" i="67" s="1"/>
  <c r="G70" i="67" s="1"/>
  <c r="G92" i="67" s="1"/>
  <c r="F26" i="67"/>
  <c r="E26" i="67"/>
  <c r="E48" i="67" s="1"/>
  <c r="D26" i="67"/>
  <c r="C26" i="67"/>
  <c r="B26" i="67"/>
  <c r="U11" i="67"/>
  <c r="T11" i="67"/>
  <c r="S11" i="67"/>
  <c r="S10" i="67"/>
  <c r="S9" i="67"/>
  <c r="S8" i="67"/>
  <c r="S7" i="67"/>
  <c r="T8" i="67" s="1"/>
  <c r="U8" i="67" s="1"/>
  <c r="T6" i="67"/>
  <c r="S6" i="67"/>
  <c r="Y5" i="67"/>
  <c r="T5" i="67"/>
  <c r="U5" i="67" s="1"/>
  <c r="S5" i="67"/>
  <c r="AD4" i="67"/>
  <c r="Y4" i="67"/>
  <c r="Z4" i="67" s="1"/>
  <c r="Q4" i="67"/>
  <c r="P4" i="67"/>
  <c r="B1" i="67"/>
  <c r="R114" i="61"/>
  <c r="K114" i="61"/>
  <c r="K115" i="61" s="1"/>
  <c r="Y92" i="61"/>
  <c r="Y114" i="61" s="1"/>
  <c r="T92" i="61"/>
  <c r="Q92" i="61"/>
  <c r="C92" i="61"/>
  <c r="Y70" i="61"/>
  <c r="T70" i="61"/>
  <c r="Q70" i="61"/>
  <c r="S50" i="61"/>
  <c r="S49" i="61"/>
  <c r="Y48" i="61"/>
  <c r="Q48" i="61"/>
  <c r="E48" i="61"/>
  <c r="E70" i="61" s="1"/>
  <c r="E92" i="61" s="1"/>
  <c r="C48" i="61"/>
  <c r="C70" i="61" s="1"/>
  <c r="B48" i="61"/>
  <c r="B70" i="61" s="1"/>
  <c r="B92" i="61" s="1"/>
  <c r="S31" i="61"/>
  <c r="T31" i="61" s="1"/>
  <c r="U31" i="61" s="1"/>
  <c r="T30" i="61"/>
  <c r="U30" i="61" s="1"/>
  <c r="S30" i="61"/>
  <c r="U29" i="61"/>
  <c r="T29" i="61"/>
  <c r="S29" i="61"/>
  <c r="Y28" i="61"/>
  <c r="S28" i="61"/>
  <c r="T28" i="61" s="1"/>
  <c r="U28" i="61" s="1"/>
  <c r="Y27" i="61"/>
  <c r="U27" i="61"/>
  <c r="T27" i="61"/>
  <c r="S27" i="61"/>
  <c r="AD26" i="61"/>
  <c r="Z26" i="61"/>
  <c r="Y26" i="61"/>
  <c r="Q26" i="61"/>
  <c r="P26" i="61"/>
  <c r="G26" i="61"/>
  <c r="G48" i="61" s="1"/>
  <c r="G70" i="61" s="1"/>
  <c r="G92" i="61" s="1"/>
  <c r="F26" i="61"/>
  <c r="F48" i="61" s="1"/>
  <c r="F70" i="61" s="1"/>
  <c r="F92" i="61" s="1"/>
  <c r="E26" i="61"/>
  <c r="D26" i="61"/>
  <c r="D48" i="61" s="1"/>
  <c r="D70" i="61" s="1"/>
  <c r="D92" i="61" s="1"/>
  <c r="C26" i="61"/>
  <c r="B26" i="61"/>
  <c r="T8" i="61"/>
  <c r="U8" i="61" s="1"/>
  <c r="S8" i="61"/>
  <c r="S7" i="61"/>
  <c r="T7" i="61" s="1"/>
  <c r="U7" i="61" s="1"/>
  <c r="T6" i="61"/>
  <c r="U6" i="61" s="1"/>
  <c r="S6" i="61"/>
  <c r="Y5" i="61"/>
  <c r="U5" i="61"/>
  <c r="T5" i="61"/>
  <c r="S5" i="61"/>
  <c r="AD4" i="61"/>
  <c r="Y4" i="61"/>
  <c r="Z4" i="61" s="1"/>
  <c r="Q4" i="61"/>
  <c r="P4" i="61"/>
  <c r="B1" i="61"/>
  <c r="R114" i="96"/>
  <c r="K114" i="96"/>
  <c r="K115" i="96" s="1"/>
  <c r="Y92" i="96"/>
  <c r="T92" i="96"/>
  <c r="Q92" i="96"/>
  <c r="Y70" i="96"/>
  <c r="T70" i="96"/>
  <c r="Q70" i="96"/>
  <c r="B70" i="96"/>
  <c r="B92" i="96" s="1"/>
  <c r="S50" i="96"/>
  <c r="S49" i="96"/>
  <c r="T50" i="96" s="1"/>
  <c r="U50" i="96" s="1"/>
  <c r="Y48" i="96"/>
  <c r="Q48" i="96"/>
  <c r="U32" i="96"/>
  <c r="T32" i="96"/>
  <c r="S32" i="96"/>
  <c r="S31" i="96"/>
  <c r="S30" i="96"/>
  <c r="U29" i="96"/>
  <c r="T29" i="96"/>
  <c r="S29" i="96"/>
  <c r="Y28" i="96"/>
  <c r="T28" i="96"/>
  <c r="U28" i="96" s="1"/>
  <c r="S28" i="96"/>
  <c r="Y27" i="96"/>
  <c r="U27" i="96"/>
  <c r="T27" i="96"/>
  <c r="S27" i="96"/>
  <c r="AD26" i="96"/>
  <c r="Y26" i="96"/>
  <c r="Z26" i="96" s="1"/>
  <c r="Q26" i="96"/>
  <c r="P26" i="96"/>
  <c r="G26" i="96"/>
  <c r="G48" i="96" s="1"/>
  <c r="G70" i="96" s="1"/>
  <c r="G92" i="96" s="1"/>
  <c r="F26" i="96"/>
  <c r="F48" i="96" s="1"/>
  <c r="F70" i="96" s="1"/>
  <c r="F92" i="96" s="1"/>
  <c r="E26" i="96"/>
  <c r="E48" i="96" s="1"/>
  <c r="E70" i="96" s="1"/>
  <c r="E92" i="96" s="1"/>
  <c r="D26" i="96"/>
  <c r="D48" i="96" s="1"/>
  <c r="D70" i="96" s="1"/>
  <c r="D92" i="96" s="1"/>
  <c r="C26" i="96"/>
  <c r="C48" i="96" s="1"/>
  <c r="C70" i="96" s="1"/>
  <c r="C92" i="96" s="1"/>
  <c r="B26" i="96"/>
  <c r="B48" i="96" s="1"/>
  <c r="U11" i="96"/>
  <c r="T11" i="96"/>
  <c r="S11" i="96"/>
  <c r="S10" i="96"/>
  <c r="S9" i="96"/>
  <c r="S8" i="96"/>
  <c r="S7" i="96"/>
  <c r="T8" i="96" s="1"/>
  <c r="U8" i="96" s="1"/>
  <c r="T6" i="96"/>
  <c r="S6" i="96"/>
  <c r="Y5" i="96"/>
  <c r="T5" i="96"/>
  <c r="U5" i="96" s="1"/>
  <c r="S5" i="96"/>
  <c r="AD4" i="96"/>
  <c r="Y4" i="96"/>
  <c r="Z4" i="96" s="1"/>
  <c r="Q4" i="96"/>
  <c r="P4" i="96"/>
  <c r="B1" i="96"/>
  <c r="R114" i="66"/>
  <c r="K114" i="66"/>
  <c r="K115" i="66" s="1"/>
  <c r="Y92" i="66"/>
  <c r="Y114" i="66" s="1"/>
  <c r="T92" i="66"/>
  <c r="Q92" i="66"/>
  <c r="Y70" i="66"/>
  <c r="T70" i="66"/>
  <c r="Q70" i="66"/>
  <c r="D70" i="66"/>
  <c r="D92" i="66" s="1"/>
  <c r="S50" i="66"/>
  <c r="S49" i="66"/>
  <c r="Y48" i="66"/>
  <c r="Q48" i="66"/>
  <c r="E48" i="66"/>
  <c r="E70" i="66" s="1"/>
  <c r="E92" i="66" s="1"/>
  <c r="C48" i="66"/>
  <c r="C70" i="66" s="1"/>
  <c r="C92" i="66" s="1"/>
  <c r="B48" i="66"/>
  <c r="B70" i="66" s="1"/>
  <c r="B92" i="66" s="1"/>
  <c r="U37" i="66"/>
  <c r="S36" i="66"/>
  <c r="S35" i="66"/>
  <c r="S34" i="66"/>
  <c r="S33" i="66"/>
  <c r="T34" i="66" s="1"/>
  <c r="U34" i="66" s="1"/>
  <c r="T32" i="66"/>
  <c r="U32" i="66" s="1"/>
  <c r="S32" i="66"/>
  <c r="S31" i="66"/>
  <c r="T31" i="66" s="1"/>
  <c r="U31" i="66" s="1"/>
  <c r="T30" i="66"/>
  <c r="U30" i="66" s="1"/>
  <c r="S30" i="66"/>
  <c r="U29" i="66"/>
  <c r="T29" i="66"/>
  <c r="S29" i="66"/>
  <c r="Y28" i="66"/>
  <c r="S28" i="66"/>
  <c r="T28" i="66" s="1"/>
  <c r="U28" i="66" s="1"/>
  <c r="Y27" i="66"/>
  <c r="U27" i="66"/>
  <c r="T27" i="66"/>
  <c r="S27" i="66"/>
  <c r="AD26" i="66"/>
  <c r="Z26" i="66"/>
  <c r="Y26" i="66"/>
  <c r="Q26" i="66"/>
  <c r="P26" i="66"/>
  <c r="G26" i="66"/>
  <c r="G48" i="66" s="1"/>
  <c r="G70" i="66" s="1"/>
  <c r="G92" i="66" s="1"/>
  <c r="F26" i="66"/>
  <c r="F48" i="66" s="1"/>
  <c r="F70" i="66" s="1"/>
  <c r="F92" i="66" s="1"/>
  <c r="E26" i="66"/>
  <c r="D26" i="66"/>
  <c r="D48" i="66" s="1"/>
  <c r="C26" i="66"/>
  <c r="B26" i="66"/>
  <c r="T16" i="66"/>
  <c r="U16" i="66" s="1"/>
  <c r="S16" i="66"/>
  <c r="S15" i="66"/>
  <c r="T15" i="66" s="1"/>
  <c r="U15" i="66" s="1"/>
  <c r="T14" i="66"/>
  <c r="U14" i="66" s="1"/>
  <c r="S14" i="66"/>
  <c r="U13" i="66"/>
  <c r="T13" i="66"/>
  <c r="S13" i="66"/>
  <c r="S12" i="66"/>
  <c r="S11" i="66"/>
  <c r="S10" i="66"/>
  <c r="S9" i="66"/>
  <c r="T10" i="66" s="1"/>
  <c r="U10" i="66" s="1"/>
  <c r="T8" i="66"/>
  <c r="U8" i="66" s="1"/>
  <c r="S8" i="66"/>
  <c r="S7" i="66"/>
  <c r="T7" i="66" s="1"/>
  <c r="U7" i="66" s="1"/>
  <c r="T6" i="66"/>
  <c r="U6" i="66" s="1"/>
  <c r="S6" i="66"/>
  <c r="Y5" i="66"/>
  <c r="U5" i="66"/>
  <c r="T5" i="66"/>
  <c r="S5" i="66"/>
  <c r="AD4" i="66"/>
  <c r="Y4" i="66"/>
  <c r="Z4" i="66" s="1"/>
  <c r="Q4" i="66"/>
  <c r="P4" i="66"/>
  <c r="B1" i="66"/>
  <c r="R114" i="98"/>
  <c r="K114" i="98"/>
  <c r="K115" i="98" s="1"/>
  <c r="Y92" i="98"/>
  <c r="T92" i="98"/>
  <c r="Q92" i="98"/>
  <c r="Y70" i="98"/>
  <c r="Y114" i="98" s="1"/>
  <c r="T70" i="98"/>
  <c r="Q70" i="98"/>
  <c r="S50" i="98"/>
  <c r="S49" i="98"/>
  <c r="T50" i="98" s="1"/>
  <c r="U50" i="98" s="1"/>
  <c r="Y48" i="98"/>
  <c r="Q48" i="98"/>
  <c r="C48" i="98"/>
  <c r="C70" i="98" s="1"/>
  <c r="C92" i="98" s="1"/>
  <c r="U39" i="98"/>
  <c r="T39" i="98"/>
  <c r="S39" i="98"/>
  <c r="S38" i="98"/>
  <c r="S37" i="98"/>
  <c r="S36" i="98"/>
  <c r="S35" i="98"/>
  <c r="T36" i="98" s="1"/>
  <c r="U36" i="98" s="1"/>
  <c r="T34" i="98"/>
  <c r="U34" i="98" s="1"/>
  <c r="S34" i="98"/>
  <c r="S33" i="98"/>
  <c r="T33" i="98" s="1"/>
  <c r="U33" i="98" s="1"/>
  <c r="T32" i="98"/>
  <c r="U32" i="98" s="1"/>
  <c r="S32" i="98"/>
  <c r="U31" i="98"/>
  <c r="T31" i="98"/>
  <c r="S31" i="98"/>
  <c r="S30" i="98"/>
  <c r="S29" i="98"/>
  <c r="U28" i="98"/>
  <c r="T28" i="98"/>
  <c r="S28" i="98"/>
  <c r="Y27" i="98"/>
  <c r="T27" i="98"/>
  <c r="S27" i="98"/>
  <c r="AD26" i="98"/>
  <c r="Z26" i="98"/>
  <c r="Y26" i="98"/>
  <c r="Q26" i="98"/>
  <c r="P26" i="98"/>
  <c r="G26" i="98"/>
  <c r="G48" i="98" s="1"/>
  <c r="G70" i="98" s="1"/>
  <c r="G92" i="98" s="1"/>
  <c r="F26" i="98"/>
  <c r="F48" i="98" s="1"/>
  <c r="F70" i="98" s="1"/>
  <c r="F92" i="98" s="1"/>
  <c r="E26" i="98"/>
  <c r="E48" i="98" s="1"/>
  <c r="E70" i="98" s="1"/>
  <c r="E92" i="98" s="1"/>
  <c r="D26" i="98"/>
  <c r="D48" i="98" s="1"/>
  <c r="D70" i="98" s="1"/>
  <c r="D92" i="98" s="1"/>
  <c r="C26" i="98"/>
  <c r="B26" i="98"/>
  <c r="B48" i="98" s="1"/>
  <c r="B70" i="98" s="1"/>
  <c r="B92" i="98" s="1"/>
  <c r="S17" i="98"/>
  <c r="T17" i="98" s="1"/>
  <c r="U17" i="98" s="1"/>
  <c r="Q17" i="98"/>
  <c r="U16" i="98"/>
  <c r="T16" i="98"/>
  <c r="S16" i="98"/>
  <c r="Q16" i="98"/>
  <c r="S15" i="98"/>
  <c r="T15" i="98" s="1"/>
  <c r="U15" i="98" s="1"/>
  <c r="Q15" i="98"/>
  <c r="U14" i="98"/>
  <c r="T14" i="98"/>
  <c r="S14" i="98"/>
  <c r="Q14" i="98"/>
  <c r="S13" i="98"/>
  <c r="T13" i="98" s="1"/>
  <c r="U13" i="98" s="1"/>
  <c r="Q13" i="98"/>
  <c r="U12" i="98"/>
  <c r="T12" i="98"/>
  <c r="S12" i="98"/>
  <c r="Q12" i="98"/>
  <c r="S11" i="98"/>
  <c r="T11" i="98" s="1"/>
  <c r="U11" i="98" s="1"/>
  <c r="Q11" i="98"/>
  <c r="U10" i="98"/>
  <c r="T10" i="98"/>
  <c r="S10" i="98"/>
  <c r="Q10" i="98"/>
  <c r="S9" i="98"/>
  <c r="T9" i="98" s="1"/>
  <c r="U9" i="98" s="1"/>
  <c r="Q9" i="98"/>
  <c r="U8" i="98"/>
  <c r="T8" i="98"/>
  <c r="S8" i="98"/>
  <c r="Q8" i="98"/>
  <c r="S7" i="98"/>
  <c r="T7" i="98" s="1"/>
  <c r="U7" i="98" s="1"/>
  <c r="Q7" i="98"/>
  <c r="U6" i="98"/>
  <c r="T6" i="98"/>
  <c r="S6" i="98"/>
  <c r="Q6" i="98"/>
  <c r="Y5" i="98"/>
  <c r="T5" i="98"/>
  <c r="S5" i="98"/>
  <c r="Q5" i="98"/>
  <c r="Q4" i="98" s="1"/>
  <c r="AD4" i="98"/>
  <c r="Z4" i="98"/>
  <c r="Y4" i="98"/>
  <c r="P4" i="98"/>
  <c r="B1" i="98"/>
  <c r="K115" i="88"/>
  <c r="R114" i="88"/>
  <c r="K114" i="88"/>
  <c r="Y92" i="88"/>
  <c r="T92" i="88"/>
  <c r="Q92" i="88"/>
  <c r="Y70" i="88"/>
  <c r="T70" i="88"/>
  <c r="Q70" i="88"/>
  <c r="G70" i="88"/>
  <c r="G92" i="88" s="1"/>
  <c r="S50" i="88"/>
  <c r="T50" i="88" s="1"/>
  <c r="U50" i="88" s="1"/>
  <c r="U49" i="88"/>
  <c r="T49" i="88"/>
  <c r="S49" i="88"/>
  <c r="Y48" i="88"/>
  <c r="Q48" i="88"/>
  <c r="F48" i="88"/>
  <c r="F70" i="88" s="1"/>
  <c r="F92" i="88" s="1"/>
  <c r="E48" i="88"/>
  <c r="E70" i="88" s="1"/>
  <c r="E92" i="88" s="1"/>
  <c r="D48" i="88"/>
  <c r="D70" i="88" s="1"/>
  <c r="D92" i="88" s="1"/>
  <c r="U37" i="88"/>
  <c r="Y28" i="88"/>
  <c r="T28" i="88"/>
  <c r="S28" i="88"/>
  <c r="Y27" i="88"/>
  <c r="T27" i="88"/>
  <c r="U27" i="88" s="1"/>
  <c r="S27" i="88"/>
  <c r="AD26" i="88"/>
  <c r="Y26" i="88"/>
  <c r="Q26" i="88"/>
  <c r="P26" i="88"/>
  <c r="G26" i="88"/>
  <c r="G48" i="88" s="1"/>
  <c r="F26" i="88"/>
  <c r="E26" i="88"/>
  <c r="D26" i="88"/>
  <c r="C26" i="88"/>
  <c r="C48" i="88" s="1"/>
  <c r="C70" i="88" s="1"/>
  <c r="C92" i="88" s="1"/>
  <c r="B26" i="88"/>
  <c r="B48" i="88" s="1"/>
  <c r="B70" i="88" s="1"/>
  <c r="B92" i="88" s="1"/>
  <c r="S6" i="88"/>
  <c r="T6" i="88" s="1"/>
  <c r="U6" i="88" s="1"/>
  <c r="Y5" i="88"/>
  <c r="S5" i="88"/>
  <c r="T5" i="88" s="1"/>
  <c r="AD4" i="88"/>
  <c r="Z4" i="88"/>
  <c r="Y4" i="88"/>
  <c r="Q4" i="88"/>
  <c r="P4" i="88"/>
  <c r="B1" i="88"/>
  <c r="K115" i="58"/>
  <c r="R114" i="58"/>
  <c r="K114" i="58"/>
  <c r="Y92" i="58"/>
  <c r="T92" i="58"/>
  <c r="Q92" i="58"/>
  <c r="Y70" i="58"/>
  <c r="T70" i="58"/>
  <c r="Q70" i="58"/>
  <c r="S50" i="58"/>
  <c r="T50" i="58" s="1"/>
  <c r="U50" i="58" s="1"/>
  <c r="U49" i="58"/>
  <c r="T49" i="58"/>
  <c r="T48" i="58" s="1"/>
  <c r="S49" i="58"/>
  <c r="Y48" i="58"/>
  <c r="Q48" i="58"/>
  <c r="T32" i="58"/>
  <c r="U32" i="58" s="1"/>
  <c r="S32" i="58"/>
  <c r="U31" i="58"/>
  <c r="T31" i="58"/>
  <c r="S31" i="58"/>
  <c r="S30" i="58"/>
  <c r="S29" i="58"/>
  <c r="Y28" i="58"/>
  <c r="S28" i="58"/>
  <c r="T28" i="58" s="1"/>
  <c r="U28" i="58" s="1"/>
  <c r="Y27" i="58"/>
  <c r="S27" i="58"/>
  <c r="T27" i="58" s="1"/>
  <c r="AD26" i="58"/>
  <c r="Z26" i="58"/>
  <c r="Y26" i="58"/>
  <c r="Q26" i="58"/>
  <c r="P26" i="58"/>
  <c r="G26" i="58"/>
  <c r="G48" i="58" s="1"/>
  <c r="G70" i="58" s="1"/>
  <c r="G92" i="58" s="1"/>
  <c r="F26" i="58"/>
  <c r="F48" i="58" s="1"/>
  <c r="F70" i="58" s="1"/>
  <c r="F92" i="58" s="1"/>
  <c r="E26" i="58"/>
  <c r="E48" i="58" s="1"/>
  <c r="E70" i="58" s="1"/>
  <c r="E92" i="58" s="1"/>
  <c r="D26" i="58"/>
  <c r="D48" i="58" s="1"/>
  <c r="D70" i="58" s="1"/>
  <c r="D92" i="58" s="1"/>
  <c r="C26" i="58"/>
  <c r="C48" i="58" s="1"/>
  <c r="C70" i="58" s="1"/>
  <c r="C92" i="58" s="1"/>
  <c r="B26" i="58"/>
  <c r="B48" i="58" s="1"/>
  <c r="B70" i="58" s="1"/>
  <c r="B92" i="58" s="1"/>
  <c r="T7" i="58"/>
  <c r="U7" i="58" s="1"/>
  <c r="S7" i="58"/>
  <c r="U6" i="58"/>
  <c r="T6" i="58"/>
  <c r="S6" i="58"/>
  <c r="Y5" i="58"/>
  <c r="S5" i="58"/>
  <c r="T5" i="58" s="1"/>
  <c r="AD4" i="58"/>
  <c r="Z4" i="58"/>
  <c r="Y4" i="58"/>
  <c r="Y114" i="58" s="1"/>
  <c r="Q4" i="58"/>
  <c r="P4" i="58"/>
  <c r="B1" i="58"/>
  <c r="R114" i="74"/>
  <c r="K114" i="74"/>
  <c r="K115" i="74" s="1"/>
  <c r="Y92" i="74"/>
  <c r="T92" i="74"/>
  <c r="Q92" i="74"/>
  <c r="S75" i="74"/>
  <c r="S74" i="74"/>
  <c r="S73" i="74"/>
  <c r="S72" i="74"/>
  <c r="T73" i="74" s="1"/>
  <c r="U73" i="74" s="1"/>
  <c r="T71" i="74"/>
  <c r="S71" i="74"/>
  <c r="Z70" i="74"/>
  <c r="Y70" i="74"/>
  <c r="Q70" i="74"/>
  <c r="P70" i="74"/>
  <c r="F70" i="74"/>
  <c r="F92" i="74" s="1"/>
  <c r="T55" i="74"/>
  <c r="U55" i="74" s="1"/>
  <c r="S55" i="74"/>
  <c r="U54" i="74"/>
  <c r="T54" i="74"/>
  <c r="S54" i="74"/>
  <c r="S53" i="74"/>
  <c r="S52" i="74"/>
  <c r="U51" i="74"/>
  <c r="T51" i="74"/>
  <c r="S51" i="74"/>
  <c r="Y50" i="74"/>
  <c r="S50" i="74"/>
  <c r="Q50" i="74"/>
  <c r="Y49" i="74"/>
  <c r="Y48" i="74" s="1"/>
  <c r="Z48" i="74" s="1"/>
  <c r="S49" i="74"/>
  <c r="T49" i="74" s="1"/>
  <c r="Q48" i="74"/>
  <c r="P48" i="74"/>
  <c r="G48" i="74"/>
  <c r="G70" i="74" s="1"/>
  <c r="G92" i="74" s="1"/>
  <c r="C48" i="74"/>
  <c r="C70" i="74" s="1"/>
  <c r="C92" i="74" s="1"/>
  <c r="U37" i="74"/>
  <c r="S33" i="74"/>
  <c r="S32" i="74"/>
  <c r="T33" i="74" s="1"/>
  <c r="U33" i="74" s="1"/>
  <c r="T31" i="74"/>
  <c r="U31" i="74" s="1"/>
  <c r="S31" i="74"/>
  <c r="S30" i="74"/>
  <c r="T30" i="74" s="1"/>
  <c r="T29" i="74"/>
  <c r="U29" i="74" s="1"/>
  <c r="S29" i="74"/>
  <c r="Y28" i="74"/>
  <c r="U28" i="74"/>
  <c r="T28" i="74"/>
  <c r="S28" i="74"/>
  <c r="Y27" i="74"/>
  <c r="Y26" i="74" s="1"/>
  <c r="Z26" i="74" s="1"/>
  <c r="T27" i="74"/>
  <c r="U27" i="74" s="1"/>
  <c r="S27" i="74"/>
  <c r="Q27" i="74"/>
  <c r="Q26" i="74" s="1"/>
  <c r="AD26" i="74"/>
  <c r="P26" i="74"/>
  <c r="G26" i="74"/>
  <c r="F26" i="74"/>
  <c r="F48" i="74" s="1"/>
  <c r="E26" i="74"/>
  <c r="E48" i="74" s="1"/>
  <c r="E70" i="74" s="1"/>
  <c r="E92" i="74" s="1"/>
  <c r="D26" i="74"/>
  <c r="D48" i="74" s="1"/>
  <c r="D70" i="74" s="1"/>
  <c r="D92" i="74" s="1"/>
  <c r="C26" i="74"/>
  <c r="B26" i="74"/>
  <c r="B48" i="74" s="1"/>
  <c r="B70" i="74" s="1"/>
  <c r="B92" i="74" s="1"/>
  <c r="T16" i="74"/>
  <c r="U16" i="74" s="1"/>
  <c r="S16" i="74"/>
  <c r="U15" i="74"/>
  <c r="T15" i="74"/>
  <c r="S15" i="74"/>
  <c r="S14" i="74"/>
  <c r="S13" i="74"/>
  <c r="S12" i="74"/>
  <c r="S11" i="74"/>
  <c r="T12" i="74" s="1"/>
  <c r="U12" i="74" s="1"/>
  <c r="T10" i="74"/>
  <c r="U10" i="74" s="1"/>
  <c r="S10" i="74"/>
  <c r="S9" i="74"/>
  <c r="T9" i="74" s="1"/>
  <c r="U9" i="74" s="1"/>
  <c r="T8" i="74"/>
  <c r="U8" i="74" s="1"/>
  <c r="S8" i="74"/>
  <c r="U7" i="74"/>
  <c r="T7" i="74"/>
  <c r="S7" i="74"/>
  <c r="S6" i="74"/>
  <c r="Y5" i="74"/>
  <c r="T5" i="74"/>
  <c r="S5" i="74"/>
  <c r="T6" i="74" s="1"/>
  <c r="U6" i="74" s="1"/>
  <c r="AD4" i="74"/>
  <c r="Y4" i="74"/>
  <c r="Z4" i="74" s="1"/>
  <c r="Q4" i="74"/>
  <c r="P4" i="74"/>
  <c r="B1" i="74"/>
  <c r="K115" i="75"/>
  <c r="R114" i="75"/>
  <c r="K114" i="75"/>
  <c r="Y92" i="75"/>
  <c r="T92" i="75"/>
  <c r="Q92" i="75"/>
  <c r="Y70" i="75"/>
  <c r="T70" i="75"/>
  <c r="Q70" i="75"/>
  <c r="T50" i="75"/>
  <c r="U50" i="75" s="1"/>
  <c r="S50" i="75"/>
  <c r="S49" i="75"/>
  <c r="T49" i="75" s="1"/>
  <c r="Y48" i="75"/>
  <c r="Q48" i="75"/>
  <c r="G48" i="75"/>
  <c r="G70" i="75" s="1"/>
  <c r="G92" i="75" s="1"/>
  <c r="F48" i="75"/>
  <c r="F70" i="75" s="1"/>
  <c r="F92" i="75" s="1"/>
  <c r="U37" i="75"/>
  <c r="T36" i="75"/>
  <c r="U36" i="75" s="1"/>
  <c r="S36" i="75"/>
  <c r="S35" i="75"/>
  <c r="T35" i="75" s="1"/>
  <c r="U35" i="75" s="1"/>
  <c r="T34" i="75"/>
  <c r="U34" i="75" s="1"/>
  <c r="S34" i="75"/>
  <c r="U33" i="75"/>
  <c r="T33" i="75"/>
  <c r="S33" i="75"/>
  <c r="S32" i="75"/>
  <c r="S31" i="75"/>
  <c r="U30" i="75"/>
  <c r="S30" i="75"/>
  <c r="S29" i="75"/>
  <c r="T30" i="75" s="1"/>
  <c r="Y28" i="75"/>
  <c r="T28" i="75"/>
  <c r="U28" i="75" s="1"/>
  <c r="S28" i="75"/>
  <c r="Y27" i="75"/>
  <c r="S27" i="75"/>
  <c r="T27" i="75" s="1"/>
  <c r="AD26" i="75"/>
  <c r="Y26" i="75"/>
  <c r="Z26" i="75" s="1"/>
  <c r="Q26" i="75"/>
  <c r="P26" i="75"/>
  <c r="G26" i="75"/>
  <c r="F26" i="75"/>
  <c r="E26" i="75"/>
  <c r="E48" i="75" s="1"/>
  <c r="E70" i="75" s="1"/>
  <c r="E92" i="75" s="1"/>
  <c r="D26" i="75"/>
  <c r="D48" i="75" s="1"/>
  <c r="D70" i="75" s="1"/>
  <c r="D92" i="75" s="1"/>
  <c r="C26" i="75"/>
  <c r="C48" i="75" s="1"/>
  <c r="C70" i="75" s="1"/>
  <c r="C92" i="75" s="1"/>
  <c r="B26" i="75"/>
  <c r="B48" i="75" s="1"/>
  <c r="B70" i="75" s="1"/>
  <c r="B92" i="75" s="1"/>
  <c r="S11" i="75"/>
  <c r="S10" i="75"/>
  <c r="U9" i="75"/>
  <c r="S9" i="75"/>
  <c r="S8" i="75"/>
  <c r="T9" i="75" s="1"/>
  <c r="S7" i="75"/>
  <c r="T7" i="75" s="1"/>
  <c r="U7" i="75" s="1"/>
  <c r="S6" i="75"/>
  <c r="T6" i="75" s="1"/>
  <c r="U6" i="75" s="1"/>
  <c r="Y5" i="75"/>
  <c r="S5" i="75"/>
  <c r="T5" i="75" s="1"/>
  <c r="AD4" i="75"/>
  <c r="Y4" i="75"/>
  <c r="Z4" i="75" s="1"/>
  <c r="Q4" i="75"/>
  <c r="P4" i="75"/>
  <c r="B1" i="75"/>
  <c r="K115" i="64"/>
  <c r="R114" i="64"/>
  <c r="K114" i="64"/>
  <c r="Y92" i="64"/>
  <c r="T92" i="64"/>
  <c r="Q92" i="64"/>
  <c r="E92" i="64"/>
  <c r="Y70" i="64"/>
  <c r="T70" i="64"/>
  <c r="Q70" i="64"/>
  <c r="G70" i="64"/>
  <c r="G92" i="64" s="1"/>
  <c r="S50" i="64"/>
  <c r="T50" i="64" s="1"/>
  <c r="U49" i="64"/>
  <c r="T49" i="64"/>
  <c r="S49" i="64"/>
  <c r="Y48" i="64"/>
  <c r="Q48" i="64"/>
  <c r="F48" i="64"/>
  <c r="F70" i="64" s="1"/>
  <c r="F92" i="64" s="1"/>
  <c r="E48" i="64"/>
  <c r="E70" i="64" s="1"/>
  <c r="U37" i="64"/>
  <c r="S36" i="64"/>
  <c r="T36" i="64" s="1"/>
  <c r="U36" i="64" s="1"/>
  <c r="U35" i="64"/>
  <c r="S35" i="64"/>
  <c r="S34" i="64"/>
  <c r="T35" i="64" s="1"/>
  <c r="T33" i="64"/>
  <c r="S33" i="64"/>
  <c r="S32" i="64"/>
  <c r="T32" i="64" s="1"/>
  <c r="U32" i="64" s="1"/>
  <c r="T31" i="64"/>
  <c r="U31" i="64" s="1"/>
  <c r="S31" i="64"/>
  <c r="U30" i="64"/>
  <c r="T30" i="64"/>
  <c r="S30" i="64"/>
  <c r="S29" i="64"/>
  <c r="Y28" i="64"/>
  <c r="T28" i="64"/>
  <c r="U28" i="64" s="1"/>
  <c r="S28" i="64"/>
  <c r="T29" i="64" s="1"/>
  <c r="U29" i="64" s="1"/>
  <c r="Y27" i="64"/>
  <c r="T27" i="64"/>
  <c r="U27" i="64" s="1"/>
  <c r="S27" i="64"/>
  <c r="AD26" i="64"/>
  <c r="Y26" i="64"/>
  <c r="Q26" i="64"/>
  <c r="P26" i="64"/>
  <c r="G26" i="64"/>
  <c r="G48" i="64" s="1"/>
  <c r="F26" i="64"/>
  <c r="E26" i="64"/>
  <c r="D26" i="64"/>
  <c r="D48" i="64" s="1"/>
  <c r="D70" i="64" s="1"/>
  <c r="D92" i="64" s="1"/>
  <c r="C26" i="64"/>
  <c r="C48" i="64" s="1"/>
  <c r="C70" i="64" s="1"/>
  <c r="C92" i="64" s="1"/>
  <c r="B26" i="64"/>
  <c r="B48" i="64" s="1"/>
  <c r="B70" i="64" s="1"/>
  <c r="B92" i="64" s="1"/>
  <c r="S17" i="64"/>
  <c r="T17" i="64" s="1"/>
  <c r="U17" i="64" s="1"/>
  <c r="Q17" i="64"/>
  <c r="S16" i="64"/>
  <c r="T16" i="64" s="1"/>
  <c r="Q16" i="64"/>
  <c r="S15" i="64"/>
  <c r="Q15" i="64"/>
  <c r="S14" i="64"/>
  <c r="T14" i="64" s="1"/>
  <c r="U14" i="64" s="1"/>
  <c r="Q14" i="64"/>
  <c r="S13" i="64"/>
  <c r="T13" i="64" s="1"/>
  <c r="U13" i="64" s="1"/>
  <c r="Q13" i="64"/>
  <c r="S12" i="64"/>
  <c r="T12" i="64" s="1"/>
  <c r="Q12" i="64"/>
  <c r="S11" i="64"/>
  <c r="Q11" i="64"/>
  <c r="S10" i="64"/>
  <c r="T10" i="64" s="1"/>
  <c r="U10" i="64" s="1"/>
  <c r="Q10" i="64"/>
  <c r="S9" i="64"/>
  <c r="T9" i="64" s="1"/>
  <c r="U9" i="64" s="1"/>
  <c r="Q9" i="64"/>
  <c r="S8" i="64"/>
  <c r="T8" i="64" s="1"/>
  <c r="Q8" i="64"/>
  <c r="Y7" i="64"/>
  <c r="W7" i="64"/>
  <c r="S7" i="64"/>
  <c r="T7" i="64" s="1"/>
  <c r="U7" i="64" s="1"/>
  <c r="Q7" i="64"/>
  <c r="Y6" i="64"/>
  <c r="S6" i="64"/>
  <c r="Q6" i="64"/>
  <c r="Y5" i="64"/>
  <c r="S5" i="64"/>
  <c r="Q5" i="64"/>
  <c r="Q4" i="64" s="1"/>
  <c r="AD4" i="64"/>
  <c r="Y4" i="64"/>
  <c r="Z4" i="64" s="1"/>
  <c r="P4" i="64"/>
  <c r="B1" i="64"/>
  <c r="K115" i="99"/>
  <c r="R114" i="99"/>
  <c r="K114" i="99"/>
  <c r="Y92" i="99"/>
  <c r="Y114" i="99" s="1"/>
  <c r="T92" i="99"/>
  <c r="Q92" i="99"/>
  <c r="Y70" i="99"/>
  <c r="T70" i="99"/>
  <c r="Q70" i="99"/>
  <c r="G70" i="99"/>
  <c r="G92" i="99" s="1"/>
  <c r="T50" i="99"/>
  <c r="U50" i="99" s="1"/>
  <c r="S50" i="99"/>
  <c r="S49" i="99"/>
  <c r="T49" i="99" s="1"/>
  <c r="Y48" i="99"/>
  <c r="Q48" i="99"/>
  <c r="G48" i="99"/>
  <c r="F48" i="99"/>
  <c r="F70" i="99" s="1"/>
  <c r="F92" i="99" s="1"/>
  <c r="U37" i="99"/>
  <c r="T36" i="99"/>
  <c r="U36" i="99" s="1"/>
  <c r="S36" i="99"/>
  <c r="S35" i="99"/>
  <c r="T35" i="99" s="1"/>
  <c r="U35" i="99" s="1"/>
  <c r="T34" i="99"/>
  <c r="U34" i="99" s="1"/>
  <c r="S34" i="99"/>
  <c r="T33" i="99"/>
  <c r="U33" i="99" s="1"/>
  <c r="S33" i="99"/>
  <c r="S32" i="99"/>
  <c r="S31" i="99"/>
  <c r="S30" i="99"/>
  <c r="S29" i="99"/>
  <c r="T30" i="99" s="1"/>
  <c r="U30" i="99" s="1"/>
  <c r="Y28" i="99"/>
  <c r="T28" i="99"/>
  <c r="U28" i="99" s="1"/>
  <c r="S28" i="99"/>
  <c r="Y27" i="99"/>
  <c r="S27" i="99"/>
  <c r="T27" i="99" s="1"/>
  <c r="AD26" i="99"/>
  <c r="Z26" i="99"/>
  <c r="Y26" i="99"/>
  <c r="Q26" i="99"/>
  <c r="P26" i="99"/>
  <c r="G26" i="99"/>
  <c r="F26" i="99"/>
  <c r="E26" i="99"/>
  <c r="E48" i="99" s="1"/>
  <c r="E70" i="99" s="1"/>
  <c r="E92" i="99" s="1"/>
  <c r="D26" i="99"/>
  <c r="D48" i="99" s="1"/>
  <c r="D70" i="99" s="1"/>
  <c r="D92" i="99" s="1"/>
  <c r="C26" i="99"/>
  <c r="C48" i="99" s="1"/>
  <c r="C70" i="99" s="1"/>
  <c r="C92" i="99" s="1"/>
  <c r="B26" i="99"/>
  <c r="B48" i="99" s="1"/>
  <c r="B70" i="99" s="1"/>
  <c r="B92" i="99" s="1"/>
  <c r="S7" i="99"/>
  <c r="S6" i="99"/>
  <c r="Y5" i="99"/>
  <c r="S5" i="99"/>
  <c r="T5" i="99" s="1"/>
  <c r="U5" i="99" s="1"/>
  <c r="AD4" i="99"/>
  <c r="Z4" i="99"/>
  <c r="Y4" i="99"/>
  <c r="Q4" i="99"/>
  <c r="P4" i="99"/>
  <c r="B1" i="99"/>
  <c r="K115" i="62"/>
  <c r="R114" i="62"/>
  <c r="K114" i="62"/>
  <c r="Y92" i="62"/>
  <c r="Y114" i="62" s="1"/>
  <c r="T92" i="62"/>
  <c r="Q92" i="62"/>
  <c r="B92" i="62"/>
  <c r="Y70" i="62"/>
  <c r="T70" i="62"/>
  <c r="Q70" i="62"/>
  <c r="S50" i="62"/>
  <c r="T50" i="62" s="1"/>
  <c r="U50" i="62" s="1"/>
  <c r="T49" i="62"/>
  <c r="U49" i="62" s="1"/>
  <c r="S49" i="62"/>
  <c r="Y48" i="62"/>
  <c r="T48" i="62"/>
  <c r="Q48" i="62"/>
  <c r="D48" i="62"/>
  <c r="D70" i="62" s="1"/>
  <c r="D92" i="62" s="1"/>
  <c r="B48" i="62"/>
  <c r="B70" i="62" s="1"/>
  <c r="U37" i="62"/>
  <c r="S36" i="62"/>
  <c r="T36" i="62" s="1"/>
  <c r="U36" i="62" s="1"/>
  <c r="T35" i="62"/>
  <c r="U35" i="62" s="1"/>
  <c r="S35" i="62"/>
  <c r="U34" i="62"/>
  <c r="T34" i="62"/>
  <c r="S34" i="62"/>
  <c r="S33" i="62"/>
  <c r="S32" i="62"/>
  <c r="S31" i="62"/>
  <c r="S30" i="62"/>
  <c r="T31" i="62" s="1"/>
  <c r="U31" i="62" s="1"/>
  <c r="T29" i="62"/>
  <c r="U29" i="62" s="1"/>
  <c r="S29" i="62"/>
  <c r="Y28" i="62"/>
  <c r="S28" i="62"/>
  <c r="Y27" i="62"/>
  <c r="S27" i="62"/>
  <c r="AD26" i="62"/>
  <c r="Y26" i="62"/>
  <c r="Z26" i="62" s="1"/>
  <c r="Q26" i="62"/>
  <c r="P26" i="62"/>
  <c r="G26" i="62"/>
  <c r="G48" i="62" s="1"/>
  <c r="G70" i="62" s="1"/>
  <c r="G92" i="62" s="1"/>
  <c r="F26" i="62"/>
  <c r="F48" i="62" s="1"/>
  <c r="F70" i="62" s="1"/>
  <c r="F92" i="62" s="1"/>
  <c r="E26" i="62"/>
  <c r="E48" i="62" s="1"/>
  <c r="E70" i="62" s="1"/>
  <c r="E92" i="62" s="1"/>
  <c r="D26" i="62"/>
  <c r="C26" i="62"/>
  <c r="C48" i="62" s="1"/>
  <c r="C70" i="62" s="1"/>
  <c r="C92" i="62" s="1"/>
  <c r="B26" i="62"/>
  <c r="S8" i="62"/>
  <c r="T8" i="62" s="1"/>
  <c r="Q8" i="62"/>
  <c r="S7" i="62"/>
  <c r="T7" i="62" s="1"/>
  <c r="U7" i="62" s="1"/>
  <c r="Q7" i="62"/>
  <c r="S6" i="62"/>
  <c r="T6" i="62" s="1"/>
  <c r="Q6" i="62"/>
  <c r="Y5" i="62"/>
  <c r="T5" i="62"/>
  <c r="S5" i="62"/>
  <c r="Q5" i="62"/>
  <c r="AD4" i="62"/>
  <c r="Y4" i="62"/>
  <c r="Z4" i="62" s="1"/>
  <c r="P4" i="62"/>
  <c r="B1" i="62"/>
  <c r="R114" i="57"/>
  <c r="K114" i="57"/>
  <c r="K115" i="57" s="1"/>
  <c r="Y92" i="57"/>
  <c r="Y114" i="57" s="1"/>
  <c r="T92" i="57"/>
  <c r="Q92" i="57"/>
  <c r="C92" i="57"/>
  <c r="Y70" i="57"/>
  <c r="T70" i="57"/>
  <c r="Q70" i="57"/>
  <c r="D70" i="57"/>
  <c r="D92" i="57" s="1"/>
  <c r="S50" i="57"/>
  <c r="S49" i="57"/>
  <c r="T49" i="57" s="1"/>
  <c r="Y48" i="57"/>
  <c r="Q48" i="57"/>
  <c r="D48" i="57"/>
  <c r="C48" i="57"/>
  <c r="C70" i="57" s="1"/>
  <c r="S33" i="57"/>
  <c r="S32" i="57"/>
  <c r="S31" i="57"/>
  <c r="S30" i="57"/>
  <c r="T31" i="57" s="1"/>
  <c r="U31" i="57" s="1"/>
  <c r="T29" i="57"/>
  <c r="U29" i="57" s="1"/>
  <c r="S29" i="57"/>
  <c r="Y28" i="57"/>
  <c r="S28" i="57"/>
  <c r="Y27" i="57"/>
  <c r="S27" i="57"/>
  <c r="AD26" i="57"/>
  <c r="Y26" i="57"/>
  <c r="Z26" i="57" s="1"/>
  <c r="Q26" i="57"/>
  <c r="P26" i="57"/>
  <c r="G26" i="57"/>
  <c r="G48" i="57" s="1"/>
  <c r="G70" i="57" s="1"/>
  <c r="G92" i="57" s="1"/>
  <c r="F26" i="57"/>
  <c r="F48" i="57" s="1"/>
  <c r="F70" i="57" s="1"/>
  <c r="F92" i="57" s="1"/>
  <c r="E26" i="57"/>
  <c r="E48" i="57" s="1"/>
  <c r="E70" i="57" s="1"/>
  <c r="E92" i="57" s="1"/>
  <c r="D26" i="57"/>
  <c r="C26" i="57"/>
  <c r="B26" i="57"/>
  <c r="B48" i="57" s="1"/>
  <c r="B70" i="57" s="1"/>
  <c r="B92" i="57" s="1"/>
  <c r="S16" i="57"/>
  <c r="T16" i="57" s="1"/>
  <c r="U16" i="57" s="1"/>
  <c r="S15" i="57"/>
  <c r="S14" i="57"/>
  <c r="T15" i="57" s="1"/>
  <c r="U15" i="57" s="1"/>
  <c r="S13" i="57"/>
  <c r="T13" i="57" s="1"/>
  <c r="U13" i="57" s="1"/>
  <c r="S12" i="57"/>
  <c r="T12" i="57" s="1"/>
  <c r="U12" i="57" s="1"/>
  <c r="T11" i="57"/>
  <c r="U11" i="57" s="1"/>
  <c r="S11" i="57"/>
  <c r="T10" i="57"/>
  <c r="U10" i="57" s="1"/>
  <c r="S10" i="57"/>
  <c r="S9" i="57"/>
  <c r="S8" i="57"/>
  <c r="U7" i="57"/>
  <c r="S7" i="57"/>
  <c r="S6" i="57"/>
  <c r="T7" i="57" s="1"/>
  <c r="Y5" i="57"/>
  <c r="U5" i="57"/>
  <c r="T5" i="57"/>
  <c r="S5" i="57"/>
  <c r="AD4" i="57"/>
  <c r="Z4" i="57"/>
  <c r="Y4" i="57"/>
  <c r="Q4" i="57"/>
  <c r="P4" i="57"/>
  <c r="B1" i="57"/>
  <c r="K115" i="95"/>
  <c r="R114" i="95"/>
  <c r="K114" i="95"/>
  <c r="Y92" i="95"/>
  <c r="T92" i="95"/>
  <c r="Q92" i="95"/>
  <c r="Y70" i="95"/>
  <c r="T70" i="95"/>
  <c r="Q70" i="95"/>
  <c r="U50" i="95"/>
  <c r="T50" i="95"/>
  <c r="S50" i="95"/>
  <c r="T49" i="95"/>
  <c r="U49" i="95" s="1"/>
  <c r="S49" i="95"/>
  <c r="Y48" i="95"/>
  <c r="Q48" i="95"/>
  <c r="G48" i="95"/>
  <c r="G70" i="95" s="1"/>
  <c r="G92" i="95" s="1"/>
  <c r="D48" i="95"/>
  <c r="D70" i="95" s="1"/>
  <c r="D92" i="95" s="1"/>
  <c r="T34" i="95"/>
  <c r="U34" i="95" s="1"/>
  <c r="S34" i="95"/>
  <c r="S33" i="95"/>
  <c r="T33" i="95" s="1"/>
  <c r="U33" i="95" s="1"/>
  <c r="T32" i="95"/>
  <c r="U32" i="95" s="1"/>
  <c r="S32" i="95"/>
  <c r="T31" i="95"/>
  <c r="U31" i="95" s="1"/>
  <c r="S31" i="95"/>
  <c r="S30" i="95"/>
  <c r="S29" i="95"/>
  <c r="Y28" i="95"/>
  <c r="S28" i="95"/>
  <c r="Y27" i="95"/>
  <c r="S27" i="95"/>
  <c r="T27" i="95" s="1"/>
  <c r="AD26" i="95"/>
  <c r="Z26" i="95"/>
  <c r="Y26" i="95"/>
  <c r="Q26" i="95"/>
  <c r="P26" i="95"/>
  <c r="G26" i="95"/>
  <c r="F26" i="95"/>
  <c r="F48" i="95" s="1"/>
  <c r="F70" i="95" s="1"/>
  <c r="F92" i="95" s="1"/>
  <c r="E26" i="95"/>
  <c r="E48" i="95" s="1"/>
  <c r="E70" i="95" s="1"/>
  <c r="E92" i="95" s="1"/>
  <c r="D26" i="95"/>
  <c r="C26" i="95"/>
  <c r="C48" i="95" s="1"/>
  <c r="C70" i="95" s="1"/>
  <c r="C92" i="95" s="1"/>
  <c r="B26" i="95"/>
  <c r="B48" i="95" s="1"/>
  <c r="B70" i="95" s="1"/>
  <c r="B92" i="95" s="1"/>
  <c r="T15" i="95"/>
  <c r="U15" i="95" s="1"/>
  <c r="S15" i="95"/>
  <c r="T14" i="95"/>
  <c r="U14" i="95" s="1"/>
  <c r="S14" i="95"/>
  <c r="S13" i="95"/>
  <c r="S12" i="95"/>
  <c r="T12" i="95" s="1"/>
  <c r="U12" i="95" s="1"/>
  <c r="S11" i="95"/>
  <c r="S10" i="95"/>
  <c r="T9" i="95"/>
  <c r="U9" i="95" s="1"/>
  <c r="S9" i="95"/>
  <c r="S8" i="95"/>
  <c r="T8" i="95" s="1"/>
  <c r="U8" i="95" s="1"/>
  <c r="T7" i="95"/>
  <c r="U7" i="95" s="1"/>
  <c r="S7" i="95"/>
  <c r="T6" i="95"/>
  <c r="U6" i="95" s="1"/>
  <c r="S6" i="95"/>
  <c r="Y5" i="95"/>
  <c r="S5" i="95"/>
  <c r="T5" i="95" s="1"/>
  <c r="AD4" i="95"/>
  <c r="Y4" i="95"/>
  <c r="Z4" i="95" s="1"/>
  <c r="Q4" i="95"/>
  <c r="P4" i="95"/>
  <c r="B1" i="95"/>
  <c r="R114" i="104"/>
  <c r="K114" i="104"/>
  <c r="K115" i="104" s="1"/>
  <c r="Y92" i="104"/>
  <c r="T92" i="104"/>
  <c r="Q92" i="104"/>
  <c r="Y70" i="104"/>
  <c r="T70" i="104"/>
  <c r="Q70" i="104"/>
  <c r="E70" i="104"/>
  <c r="E92" i="104" s="1"/>
  <c r="S50" i="104"/>
  <c r="S49" i="104"/>
  <c r="T49" i="104" s="1"/>
  <c r="Y48" i="104"/>
  <c r="Q48" i="104"/>
  <c r="F48" i="104"/>
  <c r="F70" i="104" s="1"/>
  <c r="F92" i="104" s="1"/>
  <c r="D48" i="104"/>
  <c r="D70" i="104" s="1"/>
  <c r="D92" i="104" s="1"/>
  <c r="U37" i="104"/>
  <c r="S36" i="104"/>
  <c r="T36" i="104" s="1"/>
  <c r="U36" i="104" s="1"/>
  <c r="S35" i="104"/>
  <c r="T35" i="104" s="1"/>
  <c r="U35" i="104" s="1"/>
  <c r="S34" i="104"/>
  <c r="T34" i="104" s="1"/>
  <c r="U34" i="104" s="1"/>
  <c r="T33" i="104"/>
  <c r="U33" i="104" s="1"/>
  <c r="S33" i="104"/>
  <c r="T32" i="104"/>
  <c r="U32" i="104" s="1"/>
  <c r="S32" i="104"/>
  <c r="S31" i="104"/>
  <c r="U30" i="104"/>
  <c r="S30" i="104"/>
  <c r="T30" i="104" s="1"/>
  <c r="U29" i="104"/>
  <c r="T29" i="104"/>
  <c r="S29" i="104"/>
  <c r="Y28" i="104"/>
  <c r="T28" i="104"/>
  <c r="U28" i="104" s="1"/>
  <c r="S28" i="104"/>
  <c r="Y27" i="104"/>
  <c r="U27" i="104"/>
  <c r="T27" i="104"/>
  <c r="S27" i="104"/>
  <c r="AD26" i="104"/>
  <c r="Y26" i="104"/>
  <c r="Z26" i="104" s="1"/>
  <c r="Q26" i="104"/>
  <c r="P26" i="104"/>
  <c r="G26" i="104"/>
  <c r="G48" i="104" s="1"/>
  <c r="G70" i="104" s="1"/>
  <c r="G92" i="104" s="1"/>
  <c r="F26" i="104"/>
  <c r="E26" i="104"/>
  <c r="E48" i="104" s="1"/>
  <c r="D26" i="104"/>
  <c r="C26" i="104"/>
  <c r="C48" i="104" s="1"/>
  <c r="C70" i="104" s="1"/>
  <c r="C92" i="104" s="1"/>
  <c r="B26" i="104"/>
  <c r="B48" i="104" s="1"/>
  <c r="B70" i="104" s="1"/>
  <c r="B92" i="104" s="1"/>
  <c r="S16" i="104"/>
  <c r="T16" i="104" s="1"/>
  <c r="U16" i="104" s="1"/>
  <c r="T15" i="104"/>
  <c r="U15" i="104" s="1"/>
  <c r="S15" i="104"/>
  <c r="S14" i="104"/>
  <c r="S13" i="104"/>
  <c r="T13" i="104" s="1"/>
  <c r="U13" i="104" s="1"/>
  <c r="S12" i="104"/>
  <c r="S11" i="104"/>
  <c r="S10" i="104"/>
  <c r="T10" i="104" s="1"/>
  <c r="U10" i="104" s="1"/>
  <c r="S9" i="104"/>
  <c r="T8" i="104"/>
  <c r="U8" i="104" s="1"/>
  <c r="S8" i="104"/>
  <c r="T9" i="104" s="1"/>
  <c r="U9" i="104" s="1"/>
  <c r="T7" i="104"/>
  <c r="U7" i="104" s="1"/>
  <c r="S7" i="104"/>
  <c r="S6" i="104"/>
  <c r="Y5" i="104"/>
  <c r="S5" i="104"/>
  <c r="T5" i="104" s="1"/>
  <c r="AD4" i="104"/>
  <c r="Z4" i="104"/>
  <c r="Y4" i="104"/>
  <c r="Q4" i="104"/>
  <c r="P4" i="104"/>
  <c r="B1" i="104"/>
  <c r="K115" i="81"/>
  <c r="R114" i="81"/>
  <c r="K114" i="81"/>
  <c r="Y92" i="81"/>
  <c r="T92" i="81"/>
  <c r="Q92" i="81"/>
  <c r="Y70" i="81"/>
  <c r="Y114" i="81" s="1"/>
  <c r="T70" i="81"/>
  <c r="Q70" i="81"/>
  <c r="G70" i="81"/>
  <c r="G92" i="81" s="1"/>
  <c r="S50" i="81"/>
  <c r="T50" i="81" s="1"/>
  <c r="U49" i="81"/>
  <c r="T49" i="81"/>
  <c r="S49" i="81"/>
  <c r="Y48" i="81"/>
  <c r="Q48" i="81"/>
  <c r="G48" i="81"/>
  <c r="F48" i="81"/>
  <c r="F70" i="81" s="1"/>
  <c r="F92" i="81" s="1"/>
  <c r="E48" i="81"/>
  <c r="E70" i="81" s="1"/>
  <c r="E92" i="81" s="1"/>
  <c r="U37" i="81"/>
  <c r="S36" i="81"/>
  <c r="T36" i="81" s="1"/>
  <c r="U36" i="81" s="1"/>
  <c r="S35" i="81"/>
  <c r="T34" i="81"/>
  <c r="U34" i="81" s="1"/>
  <c r="S34" i="81"/>
  <c r="T35" i="81" s="1"/>
  <c r="U35" i="81" s="1"/>
  <c r="T33" i="81"/>
  <c r="U33" i="81" s="1"/>
  <c r="S33" i="81"/>
  <c r="S32" i="81"/>
  <c r="T32" i="81" s="1"/>
  <c r="U32" i="81" s="1"/>
  <c r="S31" i="81"/>
  <c r="T31" i="81" s="1"/>
  <c r="U31" i="81" s="1"/>
  <c r="S30" i="81"/>
  <c r="S29" i="81"/>
  <c r="T29" i="81" s="1"/>
  <c r="U29" i="81" s="1"/>
  <c r="Y28" i="81"/>
  <c r="T28" i="81"/>
  <c r="U28" i="81" s="1"/>
  <c r="S28" i="81"/>
  <c r="Y27" i="81"/>
  <c r="S27" i="81"/>
  <c r="T27" i="81" s="1"/>
  <c r="AD26" i="81"/>
  <c r="Y26" i="81"/>
  <c r="Z26" i="81" s="1"/>
  <c r="Q26" i="81"/>
  <c r="P26" i="81"/>
  <c r="G26" i="81"/>
  <c r="F26" i="81"/>
  <c r="E26" i="81"/>
  <c r="D26" i="81"/>
  <c r="D48" i="81" s="1"/>
  <c r="D70" i="81" s="1"/>
  <c r="D92" i="81" s="1"/>
  <c r="C26" i="81"/>
  <c r="C48" i="81" s="1"/>
  <c r="C70" i="81" s="1"/>
  <c r="C92" i="81" s="1"/>
  <c r="B26" i="81"/>
  <c r="B48" i="81" s="1"/>
  <c r="B70" i="81" s="1"/>
  <c r="B92" i="81" s="1"/>
  <c r="S12" i="81"/>
  <c r="T12" i="81" s="1"/>
  <c r="U12" i="81" s="1"/>
  <c r="S11" i="81"/>
  <c r="T11" i="81" s="1"/>
  <c r="U11" i="81" s="1"/>
  <c r="S10" i="81"/>
  <c r="S9" i="81"/>
  <c r="S8" i="81"/>
  <c r="T8" i="81" s="1"/>
  <c r="U8" i="81" s="1"/>
  <c r="S7" i="81"/>
  <c r="T6" i="81"/>
  <c r="U6" i="81" s="1"/>
  <c r="S6" i="81"/>
  <c r="T7" i="81" s="1"/>
  <c r="U7" i="81" s="1"/>
  <c r="Y5" i="81"/>
  <c r="U5" i="81"/>
  <c r="T5" i="81"/>
  <c r="S5" i="81"/>
  <c r="AD4" i="81"/>
  <c r="Y4" i="81"/>
  <c r="Z4" i="81" s="1"/>
  <c r="Q4" i="81"/>
  <c r="P4" i="81"/>
  <c r="B1" i="81"/>
  <c r="R114" i="80"/>
  <c r="K114" i="80"/>
  <c r="K115" i="80" s="1"/>
  <c r="Y92" i="80"/>
  <c r="Y114" i="80" s="1"/>
  <c r="T92" i="80"/>
  <c r="Q92" i="80"/>
  <c r="Y70" i="80"/>
  <c r="T70" i="80"/>
  <c r="Q70" i="80"/>
  <c r="B70" i="80"/>
  <c r="B92" i="80" s="1"/>
  <c r="S50" i="80"/>
  <c r="S49" i="80"/>
  <c r="T49" i="80" s="1"/>
  <c r="Y48" i="80"/>
  <c r="Q48" i="80"/>
  <c r="G48" i="80"/>
  <c r="G70" i="80" s="1"/>
  <c r="G92" i="80" s="1"/>
  <c r="C48" i="80"/>
  <c r="C70" i="80" s="1"/>
  <c r="C92" i="80" s="1"/>
  <c r="B48" i="80"/>
  <c r="U37" i="80"/>
  <c r="S36" i="80"/>
  <c r="S35" i="80"/>
  <c r="T35" i="80" s="1"/>
  <c r="U35" i="80" s="1"/>
  <c r="S34" i="80"/>
  <c r="T34" i="80" s="1"/>
  <c r="U34" i="80" s="1"/>
  <c r="S33" i="80"/>
  <c r="T32" i="80"/>
  <c r="U32" i="80" s="1"/>
  <c r="S32" i="80"/>
  <c r="T33" i="80" s="1"/>
  <c r="U33" i="80" s="1"/>
  <c r="T31" i="80"/>
  <c r="U31" i="80" s="1"/>
  <c r="S31" i="80"/>
  <c r="S30" i="80"/>
  <c r="T30" i="80" s="1"/>
  <c r="U30" i="80" s="1"/>
  <c r="S29" i="80"/>
  <c r="T29" i="80" s="1"/>
  <c r="U29" i="80" s="1"/>
  <c r="Y28" i="80"/>
  <c r="S28" i="80"/>
  <c r="Y27" i="80"/>
  <c r="S27" i="80"/>
  <c r="T28" i="80" s="1"/>
  <c r="U28" i="80" s="1"/>
  <c r="AD26" i="80"/>
  <c r="Z26" i="80"/>
  <c r="Y26" i="80"/>
  <c r="Q26" i="80"/>
  <c r="P26" i="80"/>
  <c r="G26" i="80"/>
  <c r="F26" i="80"/>
  <c r="F48" i="80" s="1"/>
  <c r="F70" i="80" s="1"/>
  <c r="F92" i="80" s="1"/>
  <c r="E26" i="80"/>
  <c r="E48" i="80" s="1"/>
  <c r="E70" i="80" s="1"/>
  <c r="E92" i="80" s="1"/>
  <c r="D26" i="80"/>
  <c r="D48" i="80" s="1"/>
  <c r="D70" i="80" s="1"/>
  <c r="D92" i="80" s="1"/>
  <c r="C26" i="80"/>
  <c r="B26" i="80"/>
  <c r="T16" i="80"/>
  <c r="U16" i="80" s="1"/>
  <c r="S16" i="80"/>
  <c r="T15" i="80"/>
  <c r="U15" i="80" s="1"/>
  <c r="S15" i="80"/>
  <c r="S14" i="80"/>
  <c r="T14" i="80" s="1"/>
  <c r="U14" i="80" s="1"/>
  <c r="S13" i="80"/>
  <c r="T13" i="80" s="1"/>
  <c r="U13" i="80" s="1"/>
  <c r="S12" i="80"/>
  <c r="S11" i="80"/>
  <c r="T11" i="80" s="1"/>
  <c r="U11" i="80" s="1"/>
  <c r="S10" i="80"/>
  <c r="T10" i="80" s="1"/>
  <c r="U10" i="80" s="1"/>
  <c r="S9" i="80"/>
  <c r="T8" i="80"/>
  <c r="U8" i="80" s="1"/>
  <c r="S8" i="80"/>
  <c r="T9" i="80" s="1"/>
  <c r="U9" i="80" s="1"/>
  <c r="T7" i="80"/>
  <c r="U7" i="80" s="1"/>
  <c r="S7" i="80"/>
  <c r="S6" i="80"/>
  <c r="T6" i="80" s="1"/>
  <c r="U6" i="80" s="1"/>
  <c r="Y5" i="80"/>
  <c r="S5" i="80"/>
  <c r="T5" i="80" s="1"/>
  <c r="AD4" i="80"/>
  <c r="Z4" i="80"/>
  <c r="Y4" i="80"/>
  <c r="Q4" i="80"/>
  <c r="P4" i="80"/>
  <c r="B1" i="80"/>
  <c r="K115" i="100"/>
  <c r="R114" i="100"/>
  <c r="K114" i="100"/>
  <c r="Y92" i="100"/>
  <c r="T92" i="100"/>
  <c r="Q92" i="100"/>
  <c r="Y70" i="100"/>
  <c r="Y114" i="100" s="1"/>
  <c r="T70" i="100"/>
  <c r="Q70" i="100"/>
  <c r="G70" i="100"/>
  <c r="G92" i="100" s="1"/>
  <c r="S50" i="100"/>
  <c r="T50" i="100" s="1"/>
  <c r="U49" i="100"/>
  <c r="T49" i="100"/>
  <c r="S49" i="100"/>
  <c r="Y48" i="100"/>
  <c r="Q48" i="100"/>
  <c r="G48" i="100"/>
  <c r="F48" i="100"/>
  <c r="F70" i="100" s="1"/>
  <c r="F92" i="100" s="1"/>
  <c r="E48" i="100"/>
  <c r="E70" i="100" s="1"/>
  <c r="E92" i="100" s="1"/>
  <c r="U37" i="100"/>
  <c r="S36" i="100"/>
  <c r="T36" i="100" s="1"/>
  <c r="U36" i="100" s="1"/>
  <c r="S35" i="100"/>
  <c r="T34" i="100"/>
  <c r="U34" i="100" s="1"/>
  <c r="S34" i="100"/>
  <c r="T35" i="100" s="1"/>
  <c r="U35" i="100" s="1"/>
  <c r="T33" i="100"/>
  <c r="U33" i="100" s="1"/>
  <c r="S33" i="100"/>
  <c r="S32" i="100"/>
  <c r="T32" i="100" s="1"/>
  <c r="U32" i="100" s="1"/>
  <c r="S31" i="100"/>
  <c r="T31" i="100" s="1"/>
  <c r="U31" i="100" s="1"/>
  <c r="S30" i="100"/>
  <c r="S29" i="100"/>
  <c r="T29" i="100" s="1"/>
  <c r="U29" i="100" s="1"/>
  <c r="Y28" i="100"/>
  <c r="T28" i="100"/>
  <c r="U28" i="100" s="1"/>
  <c r="S28" i="100"/>
  <c r="Y27" i="100"/>
  <c r="S27" i="100"/>
  <c r="T27" i="100" s="1"/>
  <c r="AD26" i="100"/>
  <c r="Y26" i="100"/>
  <c r="Z26" i="100" s="1"/>
  <c r="Q26" i="100"/>
  <c r="P26" i="100"/>
  <c r="G26" i="100"/>
  <c r="F26" i="100"/>
  <c r="E26" i="100"/>
  <c r="D26" i="100"/>
  <c r="D48" i="100" s="1"/>
  <c r="D70" i="100" s="1"/>
  <c r="D92" i="100" s="1"/>
  <c r="C26" i="100"/>
  <c r="C48" i="100" s="1"/>
  <c r="C70" i="100" s="1"/>
  <c r="C92" i="100" s="1"/>
  <c r="B26" i="100"/>
  <c r="B48" i="100" s="1"/>
  <c r="B70" i="100" s="1"/>
  <c r="B92" i="100" s="1"/>
  <c r="S8" i="100"/>
  <c r="T8" i="100" s="1"/>
  <c r="U8" i="100" s="1"/>
  <c r="S7" i="100"/>
  <c r="T7" i="100" s="1"/>
  <c r="U7" i="100" s="1"/>
  <c r="U6" i="100"/>
  <c r="T6" i="100"/>
  <c r="S6" i="100"/>
  <c r="Y5" i="100"/>
  <c r="T5" i="100"/>
  <c r="T4" i="100" s="1"/>
  <c r="S5" i="100"/>
  <c r="AD4" i="100"/>
  <c r="Z4" i="100"/>
  <c r="Y4" i="100"/>
  <c r="Q4" i="100"/>
  <c r="P4" i="100"/>
  <c r="B1" i="100"/>
  <c r="R114" i="82"/>
  <c r="K114" i="82"/>
  <c r="K115" i="82" s="1"/>
  <c r="Y92" i="82"/>
  <c r="T92" i="82"/>
  <c r="Q92" i="82"/>
  <c r="D92" i="82"/>
  <c r="Y70" i="82"/>
  <c r="T70" i="82"/>
  <c r="Q70" i="82"/>
  <c r="F70" i="82"/>
  <c r="F92" i="82" s="1"/>
  <c r="E70" i="82"/>
  <c r="E92" i="82" s="1"/>
  <c r="T50" i="82"/>
  <c r="U50" i="82" s="1"/>
  <c r="S50" i="82"/>
  <c r="T49" i="82"/>
  <c r="S49" i="82"/>
  <c r="Y48" i="82"/>
  <c r="Q48" i="82"/>
  <c r="G48" i="82"/>
  <c r="G70" i="82" s="1"/>
  <c r="G92" i="82" s="1"/>
  <c r="F48" i="82"/>
  <c r="E48" i="82"/>
  <c r="D48" i="82"/>
  <c r="D70" i="82" s="1"/>
  <c r="C48" i="82"/>
  <c r="C70" i="82" s="1"/>
  <c r="C92" i="82" s="1"/>
  <c r="U37" i="82"/>
  <c r="T36" i="82"/>
  <c r="U36" i="82" s="1"/>
  <c r="S36" i="82"/>
  <c r="T35" i="82"/>
  <c r="U35" i="82" s="1"/>
  <c r="S35" i="82"/>
  <c r="S34" i="82"/>
  <c r="S33" i="82"/>
  <c r="T34" i="82" s="1"/>
  <c r="U34" i="82" s="1"/>
  <c r="S32" i="82"/>
  <c r="S31" i="82"/>
  <c r="T31" i="82" s="1"/>
  <c r="U31" i="82" s="1"/>
  <c r="S30" i="82"/>
  <c r="T30" i="82" s="1"/>
  <c r="U30" i="82" s="1"/>
  <c r="S29" i="82"/>
  <c r="T29" i="82" s="1"/>
  <c r="U29" i="82" s="1"/>
  <c r="Y28" i="82"/>
  <c r="S28" i="82"/>
  <c r="T28" i="82" s="1"/>
  <c r="U28" i="82" s="1"/>
  <c r="Y27" i="82"/>
  <c r="S27" i="82"/>
  <c r="T27" i="82" s="1"/>
  <c r="AD26" i="82"/>
  <c r="Z26" i="82"/>
  <c r="Y26" i="82"/>
  <c r="Y114" i="82" s="1"/>
  <c r="Q26" i="82"/>
  <c r="P26" i="82"/>
  <c r="G26" i="82"/>
  <c r="F26" i="82"/>
  <c r="E26" i="82"/>
  <c r="D26" i="82"/>
  <c r="C26" i="82"/>
  <c r="B26" i="82"/>
  <c r="B48" i="82" s="1"/>
  <c r="B70" i="82" s="1"/>
  <c r="B92" i="82" s="1"/>
  <c r="S12" i="82"/>
  <c r="S11" i="82"/>
  <c r="S10" i="82"/>
  <c r="T10" i="82" s="1"/>
  <c r="U10" i="82" s="1"/>
  <c r="S9" i="82"/>
  <c r="T9" i="82" s="1"/>
  <c r="U9" i="82" s="1"/>
  <c r="T8" i="82"/>
  <c r="U8" i="82" s="1"/>
  <c r="S8" i="82"/>
  <c r="T7" i="82"/>
  <c r="U7" i="82" s="1"/>
  <c r="S7" i="82"/>
  <c r="S6" i="82"/>
  <c r="Y5" i="82"/>
  <c r="S5" i="82"/>
  <c r="T5" i="82" s="1"/>
  <c r="AD4" i="82"/>
  <c r="Y4" i="82"/>
  <c r="Z4" i="82" s="1"/>
  <c r="Q4" i="82"/>
  <c r="P4" i="82"/>
  <c r="B1" i="82"/>
  <c r="K115" i="53"/>
  <c r="R114" i="53"/>
  <c r="K114" i="53"/>
  <c r="T99" i="53"/>
  <c r="U99" i="53" s="1"/>
  <c r="S99" i="53"/>
  <c r="T98" i="53"/>
  <c r="U98" i="53" s="1"/>
  <c r="S98" i="53"/>
  <c r="S97" i="53"/>
  <c r="S96" i="53"/>
  <c r="T97" i="53" s="1"/>
  <c r="U97" i="53" s="1"/>
  <c r="S95" i="53"/>
  <c r="S94" i="53"/>
  <c r="S93" i="53"/>
  <c r="T93" i="53" s="1"/>
  <c r="Z92" i="53"/>
  <c r="Y92" i="53"/>
  <c r="Q92" i="53"/>
  <c r="P92" i="53"/>
  <c r="T77" i="53"/>
  <c r="U77" i="53" s="1"/>
  <c r="S77" i="53"/>
  <c r="T76" i="53"/>
  <c r="U76" i="53" s="1"/>
  <c r="S76" i="53"/>
  <c r="S75" i="53"/>
  <c r="S74" i="53"/>
  <c r="T75" i="53" s="1"/>
  <c r="U75" i="53" s="1"/>
  <c r="S73" i="53"/>
  <c r="S72" i="53"/>
  <c r="S71" i="53"/>
  <c r="T71" i="53" s="1"/>
  <c r="Z70" i="53"/>
  <c r="Y70" i="53"/>
  <c r="Q70" i="53"/>
  <c r="P70" i="53"/>
  <c r="T55" i="53"/>
  <c r="U55" i="53" s="1"/>
  <c r="S55" i="53"/>
  <c r="T54" i="53"/>
  <c r="U54" i="53" s="1"/>
  <c r="S54" i="53"/>
  <c r="S53" i="53"/>
  <c r="S52" i="53"/>
  <c r="T53" i="53" s="1"/>
  <c r="U53" i="53" s="1"/>
  <c r="S51" i="53"/>
  <c r="S50" i="53"/>
  <c r="S49" i="53"/>
  <c r="T49" i="53" s="1"/>
  <c r="Y48" i="53"/>
  <c r="Y114" i="53" s="1"/>
  <c r="Q48" i="53"/>
  <c r="P48" i="53"/>
  <c r="D48" i="53"/>
  <c r="D70" i="53" s="1"/>
  <c r="D92" i="53" s="1"/>
  <c r="C48" i="53"/>
  <c r="C70" i="53" s="1"/>
  <c r="C92" i="53" s="1"/>
  <c r="S33" i="53"/>
  <c r="T33" i="53" s="1"/>
  <c r="U33" i="53" s="1"/>
  <c r="S32" i="53"/>
  <c r="T32" i="53" s="1"/>
  <c r="U32" i="53" s="1"/>
  <c r="U31" i="53"/>
  <c r="T31" i="53"/>
  <c r="S31" i="53"/>
  <c r="T30" i="53"/>
  <c r="U30" i="53" s="1"/>
  <c r="S30" i="53"/>
  <c r="T29" i="53"/>
  <c r="U29" i="53" s="1"/>
  <c r="S29" i="53"/>
  <c r="Y28" i="53"/>
  <c r="S28" i="53"/>
  <c r="T28" i="53" s="1"/>
  <c r="U28" i="53" s="1"/>
  <c r="Y27" i="53"/>
  <c r="T27" i="53"/>
  <c r="S27" i="53"/>
  <c r="AD26" i="53"/>
  <c r="Y26" i="53"/>
  <c r="Z26" i="53" s="1"/>
  <c r="Q26" i="53"/>
  <c r="P26" i="53"/>
  <c r="G26" i="53"/>
  <c r="G48" i="53" s="1"/>
  <c r="G70" i="53" s="1"/>
  <c r="G92" i="53" s="1"/>
  <c r="F26" i="53"/>
  <c r="F48" i="53" s="1"/>
  <c r="F70" i="53" s="1"/>
  <c r="F92" i="53" s="1"/>
  <c r="E26" i="53"/>
  <c r="E48" i="53" s="1"/>
  <c r="E70" i="53" s="1"/>
  <c r="E92" i="53" s="1"/>
  <c r="D26" i="53"/>
  <c r="C26" i="53"/>
  <c r="B26" i="53"/>
  <c r="B48" i="53" s="1"/>
  <c r="B70" i="53" s="1"/>
  <c r="B92" i="53" s="1"/>
  <c r="S6" i="53"/>
  <c r="T6" i="53" s="1"/>
  <c r="U6" i="53" s="1"/>
  <c r="Y5" i="53"/>
  <c r="S5" i="53"/>
  <c r="T5" i="53" s="1"/>
  <c r="U5" i="53" s="1"/>
  <c r="AD4" i="53"/>
  <c r="Y4" i="53"/>
  <c r="Z4" i="53" s="1"/>
  <c r="T4" i="53"/>
  <c r="Q4" i="53"/>
  <c r="P4" i="53"/>
  <c r="B1" i="53"/>
  <c r="R114" i="83"/>
  <c r="K114" i="83"/>
  <c r="K115" i="83" s="1"/>
  <c r="Y92" i="83"/>
  <c r="T92" i="83"/>
  <c r="Q92" i="83"/>
  <c r="B92" i="83"/>
  <c r="Y70" i="83"/>
  <c r="T70" i="83"/>
  <c r="Q70" i="83"/>
  <c r="S50" i="83"/>
  <c r="T50" i="83" s="1"/>
  <c r="U50" i="83" s="1"/>
  <c r="S49" i="83"/>
  <c r="T49" i="83" s="1"/>
  <c r="Y48" i="83"/>
  <c r="Q48" i="83"/>
  <c r="E48" i="83"/>
  <c r="E70" i="83" s="1"/>
  <c r="E92" i="83" s="1"/>
  <c r="B48" i="83"/>
  <c r="B70" i="83" s="1"/>
  <c r="U37" i="83"/>
  <c r="S36" i="83"/>
  <c r="T36" i="83" s="1"/>
  <c r="U36" i="83" s="1"/>
  <c r="S35" i="83"/>
  <c r="T35" i="83" s="1"/>
  <c r="U35" i="83" s="1"/>
  <c r="S34" i="83"/>
  <c r="S33" i="83"/>
  <c r="T33" i="83" s="1"/>
  <c r="U33" i="83" s="1"/>
  <c r="S32" i="83"/>
  <c r="T32" i="83" s="1"/>
  <c r="U32" i="83" s="1"/>
  <c r="U31" i="83"/>
  <c r="T31" i="83"/>
  <c r="S31" i="83"/>
  <c r="T30" i="83"/>
  <c r="U30" i="83" s="1"/>
  <c r="S30" i="83"/>
  <c r="T29" i="83"/>
  <c r="U29" i="83" s="1"/>
  <c r="S29" i="83"/>
  <c r="Y28" i="83"/>
  <c r="S28" i="83"/>
  <c r="T28" i="83" s="1"/>
  <c r="U28" i="83" s="1"/>
  <c r="Y27" i="83"/>
  <c r="T27" i="83"/>
  <c r="S27" i="83"/>
  <c r="AD26" i="83"/>
  <c r="Y26" i="83"/>
  <c r="Z26" i="83" s="1"/>
  <c r="Q26" i="83"/>
  <c r="P26" i="83"/>
  <c r="G26" i="83"/>
  <c r="G48" i="83" s="1"/>
  <c r="G70" i="83" s="1"/>
  <c r="G92" i="83" s="1"/>
  <c r="F26" i="83"/>
  <c r="F48" i="83" s="1"/>
  <c r="F70" i="83" s="1"/>
  <c r="F92" i="83" s="1"/>
  <c r="E26" i="83"/>
  <c r="D26" i="83"/>
  <c r="D48" i="83" s="1"/>
  <c r="D70" i="83" s="1"/>
  <c r="D92" i="83" s="1"/>
  <c r="C26" i="83"/>
  <c r="C48" i="83" s="1"/>
  <c r="C70" i="83" s="1"/>
  <c r="C92" i="83" s="1"/>
  <c r="B26" i="83"/>
  <c r="S10" i="83"/>
  <c r="T10" i="83" s="1"/>
  <c r="U10" i="83" s="1"/>
  <c r="U9" i="83"/>
  <c r="T9" i="83"/>
  <c r="S9" i="83"/>
  <c r="T8" i="83"/>
  <c r="U8" i="83" s="1"/>
  <c r="S8" i="83"/>
  <c r="T7" i="83"/>
  <c r="U7" i="83" s="1"/>
  <c r="S7" i="83"/>
  <c r="S6" i="83"/>
  <c r="T6" i="83" s="1"/>
  <c r="U6" i="83" s="1"/>
  <c r="Y5" i="83"/>
  <c r="S5" i="83"/>
  <c r="T5" i="83" s="1"/>
  <c r="AD4" i="83"/>
  <c r="Z4" i="83"/>
  <c r="Y4" i="83"/>
  <c r="Q4" i="83"/>
  <c r="P4" i="83"/>
  <c r="B1" i="83"/>
  <c r="K115" i="94"/>
  <c r="R114" i="94"/>
  <c r="K114" i="94"/>
  <c r="Y92" i="94"/>
  <c r="T92" i="94"/>
  <c r="Q92" i="94"/>
  <c r="F92" i="94"/>
  <c r="Y70" i="94"/>
  <c r="T70" i="94"/>
  <c r="Q70" i="94"/>
  <c r="S50" i="94"/>
  <c r="T50" i="94" s="1"/>
  <c r="U49" i="94"/>
  <c r="T49" i="94"/>
  <c r="S49" i="94"/>
  <c r="Y48" i="94"/>
  <c r="Q48" i="94"/>
  <c r="F48" i="94"/>
  <c r="F70" i="94" s="1"/>
  <c r="E48" i="94"/>
  <c r="E70" i="94" s="1"/>
  <c r="E92" i="94" s="1"/>
  <c r="U37" i="94"/>
  <c r="S36" i="94"/>
  <c r="T36" i="94" s="1"/>
  <c r="U36" i="94" s="1"/>
  <c r="U35" i="94"/>
  <c r="T35" i="94"/>
  <c r="S35" i="94"/>
  <c r="T34" i="94"/>
  <c r="U34" i="94" s="1"/>
  <c r="S34" i="94"/>
  <c r="T33" i="94"/>
  <c r="U33" i="94" s="1"/>
  <c r="S33" i="94"/>
  <c r="S32" i="94"/>
  <c r="T32" i="94" s="1"/>
  <c r="U32" i="94" s="1"/>
  <c r="S31" i="94"/>
  <c r="S30" i="94"/>
  <c r="T31" i="94" s="1"/>
  <c r="U31" i="94" s="1"/>
  <c r="S29" i="94"/>
  <c r="T29" i="94" s="1"/>
  <c r="U29" i="94" s="1"/>
  <c r="Y28" i="94"/>
  <c r="T28" i="94"/>
  <c r="U28" i="94" s="1"/>
  <c r="S28" i="94"/>
  <c r="Y27" i="94"/>
  <c r="S27" i="94"/>
  <c r="T27" i="94" s="1"/>
  <c r="AD26" i="94"/>
  <c r="Y26" i="94"/>
  <c r="Z26" i="94" s="1"/>
  <c r="Q26" i="94"/>
  <c r="P26" i="94"/>
  <c r="G26" i="94"/>
  <c r="G48" i="94" s="1"/>
  <c r="G70" i="94" s="1"/>
  <c r="G92" i="94" s="1"/>
  <c r="F26" i="94"/>
  <c r="E26" i="94"/>
  <c r="D26" i="94"/>
  <c r="D48" i="94" s="1"/>
  <c r="D70" i="94" s="1"/>
  <c r="D92" i="94" s="1"/>
  <c r="C26" i="94"/>
  <c r="C48" i="94" s="1"/>
  <c r="C70" i="94" s="1"/>
  <c r="C92" i="94" s="1"/>
  <c r="B26" i="94"/>
  <c r="B48" i="94" s="1"/>
  <c r="B70" i="94" s="1"/>
  <c r="B92" i="94" s="1"/>
  <c r="S16" i="94"/>
  <c r="T16" i="94" s="1"/>
  <c r="U16" i="94" s="1"/>
  <c r="S15" i="94"/>
  <c r="S14" i="94"/>
  <c r="T15" i="94" s="1"/>
  <c r="U15" i="94" s="1"/>
  <c r="S13" i="94"/>
  <c r="S12" i="94"/>
  <c r="T12" i="94" s="1"/>
  <c r="U12" i="94" s="1"/>
  <c r="U11" i="94"/>
  <c r="T11" i="94"/>
  <c r="S11" i="94"/>
  <c r="T10" i="94"/>
  <c r="U10" i="94" s="1"/>
  <c r="S10" i="94"/>
  <c r="T9" i="94"/>
  <c r="U9" i="94" s="1"/>
  <c r="S9" i="94"/>
  <c r="S8" i="94"/>
  <c r="T8" i="94" s="1"/>
  <c r="U8" i="94" s="1"/>
  <c r="S7" i="94"/>
  <c r="U6" i="94"/>
  <c r="T6" i="94"/>
  <c r="S6" i="94"/>
  <c r="T7" i="94" s="1"/>
  <c r="U7" i="94" s="1"/>
  <c r="Y5" i="94"/>
  <c r="T5" i="94"/>
  <c r="S5" i="94"/>
  <c r="AD4" i="94"/>
  <c r="Z4" i="94"/>
  <c r="Y4" i="94"/>
  <c r="Q4" i="94"/>
  <c r="P4" i="94"/>
  <c r="B1" i="94"/>
  <c r="R114" i="103"/>
  <c r="K114" i="103"/>
  <c r="K115" i="103" s="1"/>
  <c r="Y92" i="103"/>
  <c r="Y114" i="103" s="1"/>
  <c r="T92" i="103"/>
  <c r="Q92" i="103"/>
  <c r="Y70" i="103"/>
  <c r="T70" i="103"/>
  <c r="Q70" i="103"/>
  <c r="E70" i="103"/>
  <c r="E92" i="103" s="1"/>
  <c r="T50" i="103"/>
  <c r="U50" i="103" s="1"/>
  <c r="S50" i="103"/>
  <c r="T49" i="103"/>
  <c r="S49" i="103"/>
  <c r="Y48" i="103"/>
  <c r="Q48" i="103"/>
  <c r="G48" i="103"/>
  <c r="G70" i="103" s="1"/>
  <c r="G92" i="103" s="1"/>
  <c r="D48" i="103"/>
  <c r="D70" i="103" s="1"/>
  <c r="D92" i="103" s="1"/>
  <c r="C48" i="103"/>
  <c r="C70" i="103" s="1"/>
  <c r="C92" i="103" s="1"/>
  <c r="U37" i="103"/>
  <c r="T36" i="103"/>
  <c r="U36" i="103" s="1"/>
  <c r="S36" i="103"/>
  <c r="T35" i="103"/>
  <c r="U35" i="103" s="1"/>
  <c r="S35" i="103"/>
  <c r="S34" i="103"/>
  <c r="T34" i="103" s="1"/>
  <c r="U34" i="103" s="1"/>
  <c r="S33" i="103"/>
  <c r="S32" i="103"/>
  <c r="T33" i="103" s="1"/>
  <c r="U33" i="103" s="1"/>
  <c r="S31" i="103"/>
  <c r="T31" i="103" s="1"/>
  <c r="U31" i="103" s="1"/>
  <c r="S30" i="103"/>
  <c r="T30" i="103" s="1"/>
  <c r="U30" i="103" s="1"/>
  <c r="U29" i="103"/>
  <c r="T29" i="103"/>
  <c r="S29" i="103"/>
  <c r="Y28" i="103"/>
  <c r="S28" i="103"/>
  <c r="T28" i="103" s="1"/>
  <c r="U28" i="103" s="1"/>
  <c r="Y27" i="103"/>
  <c r="U27" i="103"/>
  <c r="T27" i="103"/>
  <c r="S27" i="103"/>
  <c r="AD26" i="103"/>
  <c r="Z26" i="103"/>
  <c r="Y26" i="103"/>
  <c r="Q26" i="103"/>
  <c r="P26" i="103"/>
  <c r="G26" i="103"/>
  <c r="F26" i="103"/>
  <c r="F48" i="103" s="1"/>
  <c r="F70" i="103" s="1"/>
  <c r="F92" i="103" s="1"/>
  <c r="E26" i="103"/>
  <c r="E48" i="103" s="1"/>
  <c r="D26" i="103"/>
  <c r="C26" i="103"/>
  <c r="B26" i="103"/>
  <c r="B48" i="103" s="1"/>
  <c r="B70" i="103" s="1"/>
  <c r="B92" i="103" s="1"/>
  <c r="S13" i="103"/>
  <c r="S12" i="103"/>
  <c r="T12" i="103" s="1"/>
  <c r="U12" i="103" s="1"/>
  <c r="S11" i="103"/>
  <c r="T11" i="103" s="1"/>
  <c r="U11" i="103" s="1"/>
  <c r="U10" i="103"/>
  <c r="T10" i="103"/>
  <c r="S10" i="103"/>
  <c r="T9" i="103"/>
  <c r="U9" i="103" s="1"/>
  <c r="S9" i="103"/>
  <c r="T8" i="103"/>
  <c r="U8" i="103" s="1"/>
  <c r="S8" i="103"/>
  <c r="S7" i="103"/>
  <c r="T7" i="103" s="1"/>
  <c r="U7" i="103" s="1"/>
  <c r="U6" i="103"/>
  <c r="T6" i="103"/>
  <c r="S6" i="103"/>
  <c r="Y5" i="103"/>
  <c r="U5" i="103"/>
  <c r="T5" i="103"/>
  <c r="S5" i="103"/>
  <c r="AD4" i="103"/>
  <c r="Z4" i="103"/>
  <c r="Y4" i="103"/>
  <c r="Q4" i="103"/>
  <c r="P4" i="103"/>
  <c r="B1" i="103"/>
  <c r="R114" i="84"/>
  <c r="K114" i="84"/>
  <c r="K115" i="84" s="1"/>
  <c r="Y92" i="84"/>
  <c r="T92" i="84"/>
  <c r="Q92" i="84"/>
  <c r="Y70" i="84"/>
  <c r="Y114" i="84" s="1"/>
  <c r="T70" i="84"/>
  <c r="Q70" i="84"/>
  <c r="B70" i="84"/>
  <c r="B92" i="84" s="1"/>
  <c r="U50" i="84"/>
  <c r="T50" i="84"/>
  <c r="S50" i="84"/>
  <c r="T49" i="84"/>
  <c r="U49" i="84" s="1"/>
  <c r="S49" i="84"/>
  <c r="Y48" i="84"/>
  <c r="T48" i="84"/>
  <c r="Q48" i="84"/>
  <c r="D48" i="84"/>
  <c r="D70" i="84" s="1"/>
  <c r="D92" i="84" s="1"/>
  <c r="U37" i="84"/>
  <c r="U36" i="84"/>
  <c r="T36" i="84"/>
  <c r="S36" i="84"/>
  <c r="T35" i="84"/>
  <c r="U35" i="84" s="1"/>
  <c r="S35" i="84"/>
  <c r="T34" i="84"/>
  <c r="U34" i="84" s="1"/>
  <c r="S34" i="84"/>
  <c r="S33" i="84"/>
  <c r="T33" i="84" s="1"/>
  <c r="U33" i="84" s="1"/>
  <c r="S32" i="84"/>
  <c r="S31" i="84"/>
  <c r="T32" i="84" s="1"/>
  <c r="U32" i="84" s="1"/>
  <c r="S30" i="84"/>
  <c r="S29" i="84"/>
  <c r="T29" i="84" s="1"/>
  <c r="U29" i="84" s="1"/>
  <c r="Y28" i="84"/>
  <c r="S28" i="84"/>
  <c r="T28" i="84" s="1"/>
  <c r="U28" i="84" s="1"/>
  <c r="Y27" i="84"/>
  <c r="S27" i="84"/>
  <c r="T27" i="84" s="1"/>
  <c r="AD26" i="84"/>
  <c r="Z26" i="84"/>
  <c r="Y26" i="84"/>
  <c r="Q26" i="84"/>
  <c r="P26" i="84"/>
  <c r="G26" i="84"/>
  <c r="G48" i="84" s="1"/>
  <c r="G70" i="84" s="1"/>
  <c r="G92" i="84" s="1"/>
  <c r="F26" i="84"/>
  <c r="F48" i="84" s="1"/>
  <c r="F70" i="84" s="1"/>
  <c r="F92" i="84" s="1"/>
  <c r="E26" i="84"/>
  <c r="E48" i="84" s="1"/>
  <c r="E70" i="84" s="1"/>
  <c r="E92" i="84" s="1"/>
  <c r="D26" i="84"/>
  <c r="C26" i="84"/>
  <c r="C48" i="84" s="1"/>
  <c r="C70" i="84" s="1"/>
  <c r="C92" i="84" s="1"/>
  <c r="B26" i="84"/>
  <c r="B48" i="84" s="1"/>
  <c r="S9" i="84"/>
  <c r="S8" i="84"/>
  <c r="T9" i="84" s="1"/>
  <c r="U9" i="84" s="1"/>
  <c r="S7" i="84"/>
  <c r="S6" i="84"/>
  <c r="T6" i="84" s="1"/>
  <c r="U6" i="84" s="1"/>
  <c r="Y5" i="84"/>
  <c r="S5" i="84"/>
  <c r="T5" i="84" s="1"/>
  <c r="U5" i="84" s="1"/>
  <c r="AD4" i="84"/>
  <c r="Y4" i="84"/>
  <c r="Z4" i="84" s="1"/>
  <c r="Q4" i="84"/>
  <c r="P4" i="84"/>
  <c r="B1" i="84"/>
  <c r="R114" i="108"/>
  <c r="K114" i="108"/>
  <c r="K115" i="108" s="1"/>
  <c r="Y92" i="108"/>
  <c r="T92" i="108"/>
  <c r="Q92" i="108"/>
  <c r="B92" i="108"/>
  <c r="Y70" i="108"/>
  <c r="T70" i="108"/>
  <c r="Q70" i="108"/>
  <c r="S50" i="108"/>
  <c r="T50" i="108" s="1"/>
  <c r="U50" i="108" s="1"/>
  <c r="S49" i="108"/>
  <c r="T49" i="108" s="1"/>
  <c r="Y48" i="108"/>
  <c r="Q48" i="108"/>
  <c r="E48" i="108"/>
  <c r="E70" i="108" s="1"/>
  <c r="E92" i="108" s="1"/>
  <c r="B48" i="108"/>
  <c r="B70" i="108" s="1"/>
  <c r="U37" i="108"/>
  <c r="S36" i="108"/>
  <c r="T36" i="108" s="1"/>
  <c r="U36" i="108" s="1"/>
  <c r="S35" i="108"/>
  <c r="T35" i="108" s="1"/>
  <c r="U35" i="108" s="1"/>
  <c r="S34" i="108"/>
  <c r="S33" i="108"/>
  <c r="T33" i="108" s="1"/>
  <c r="U33" i="108" s="1"/>
  <c r="S32" i="108"/>
  <c r="T32" i="108" s="1"/>
  <c r="U32" i="108" s="1"/>
  <c r="U31" i="108"/>
  <c r="T31" i="108"/>
  <c r="S31" i="108"/>
  <c r="T30" i="108"/>
  <c r="U30" i="108" s="1"/>
  <c r="S30" i="108"/>
  <c r="T29" i="108"/>
  <c r="U29" i="108" s="1"/>
  <c r="S29" i="108"/>
  <c r="Y28" i="108"/>
  <c r="S28" i="108"/>
  <c r="T28" i="108" s="1"/>
  <c r="U28" i="108" s="1"/>
  <c r="Y27" i="108"/>
  <c r="T27" i="108"/>
  <c r="S27" i="108"/>
  <c r="AD26" i="108"/>
  <c r="Y26" i="108"/>
  <c r="Z26" i="108" s="1"/>
  <c r="Q26" i="108"/>
  <c r="P26" i="108"/>
  <c r="G26" i="108"/>
  <c r="G48" i="108" s="1"/>
  <c r="G70" i="108" s="1"/>
  <c r="G92" i="108" s="1"/>
  <c r="F26" i="108"/>
  <c r="F48" i="108" s="1"/>
  <c r="F70" i="108" s="1"/>
  <c r="F92" i="108" s="1"/>
  <c r="E26" i="108"/>
  <c r="D26" i="108"/>
  <c r="D48" i="108" s="1"/>
  <c r="D70" i="108" s="1"/>
  <c r="D92" i="108" s="1"/>
  <c r="C26" i="108"/>
  <c r="C48" i="108" s="1"/>
  <c r="C70" i="108" s="1"/>
  <c r="C92" i="108" s="1"/>
  <c r="B26" i="108"/>
  <c r="S6" i="108"/>
  <c r="T6" i="108" s="1"/>
  <c r="U6" i="108" s="1"/>
  <c r="Y5" i="108"/>
  <c r="S5" i="108"/>
  <c r="T5" i="108" s="1"/>
  <c r="U5" i="108" s="1"/>
  <c r="AD4" i="108"/>
  <c r="Y4" i="108"/>
  <c r="Z4" i="108" s="1"/>
  <c r="T4" i="108"/>
  <c r="Q4" i="108"/>
  <c r="P4" i="108"/>
  <c r="B1" i="108"/>
  <c r="R114" i="107"/>
  <c r="K114" i="107"/>
  <c r="K115" i="107" s="1"/>
  <c r="Y92" i="107"/>
  <c r="T92" i="107"/>
  <c r="Q92" i="107"/>
  <c r="B92" i="107"/>
  <c r="Y70" i="107"/>
  <c r="T70" i="107"/>
  <c r="Q70" i="107"/>
  <c r="S50" i="107"/>
  <c r="T50" i="107" s="1"/>
  <c r="U50" i="107" s="1"/>
  <c r="S49" i="107"/>
  <c r="T49" i="107" s="1"/>
  <c r="Y48" i="107"/>
  <c r="Q48" i="107"/>
  <c r="E48" i="107"/>
  <c r="E70" i="107" s="1"/>
  <c r="E92" i="107" s="1"/>
  <c r="B48" i="107"/>
  <c r="B70" i="107" s="1"/>
  <c r="U37" i="107"/>
  <c r="S36" i="107"/>
  <c r="T36" i="107" s="1"/>
  <c r="U36" i="107" s="1"/>
  <c r="S35" i="107"/>
  <c r="T35" i="107" s="1"/>
  <c r="U35" i="107" s="1"/>
  <c r="S34" i="107"/>
  <c r="S33" i="107"/>
  <c r="S32" i="107"/>
  <c r="T32" i="107" s="1"/>
  <c r="U32" i="107" s="1"/>
  <c r="U31" i="107"/>
  <c r="T31" i="107"/>
  <c r="S31" i="107"/>
  <c r="T30" i="107"/>
  <c r="U30" i="107" s="1"/>
  <c r="S30" i="107"/>
  <c r="T29" i="107"/>
  <c r="U29" i="107" s="1"/>
  <c r="S29" i="107"/>
  <c r="Y28" i="107"/>
  <c r="S28" i="107"/>
  <c r="T28" i="107" s="1"/>
  <c r="U28" i="107" s="1"/>
  <c r="Y27" i="107"/>
  <c r="T27" i="107"/>
  <c r="S27" i="107"/>
  <c r="AD26" i="107"/>
  <c r="Y26" i="107"/>
  <c r="Z26" i="107" s="1"/>
  <c r="Q26" i="107"/>
  <c r="P26" i="107"/>
  <c r="G26" i="107"/>
  <c r="G48" i="107" s="1"/>
  <c r="G70" i="107" s="1"/>
  <c r="G92" i="107" s="1"/>
  <c r="F26" i="107"/>
  <c r="F48" i="107" s="1"/>
  <c r="F70" i="107" s="1"/>
  <c r="F92" i="107" s="1"/>
  <c r="E26" i="107"/>
  <c r="D26" i="107"/>
  <c r="D48" i="107" s="1"/>
  <c r="D70" i="107" s="1"/>
  <c r="D92" i="107" s="1"/>
  <c r="C26" i="107"/>
  <c r="C48" i="107" s="1"/>
  <c r="C70" i="107" s="1"/>
  <c r="C92" i="107" s="1"/>
  <c r="B26" i="107"/>
  <c r="S10" i="107"/>
  <c r="T10" i="107" s="1"/>
  <c r="U10" i="107" s="1"/>
  <c r="U9" i="107"/>
  <c r="T9" i="107"/>
  <c r="S9" i="107"/>
  <c r="T8" i="107"/>
  <c r="U8" i="107" s="1"/>
  <c r="S8" i="107"/>
  <c r="T7" i="107"/>
  <c r="U7" i="107" s="1"/>
  <c r="S7" i="107"/>
  <c r="S6" i="107"/>
  <c r="T6" i="107" s="1"/>
  <c r="U6" i="107" s="1"/>
  <c r="Y5" i="107"/>
  <c r="S5" i="107"/>
  <c r="T5" i="107" s="1"/>
  <c r="AD4" i="107"/>
  <c r="Z4" i="107"/>
  <c r="Y4" i="107"/>
  <c r="Q4" i="107"/>
  <c r="P4" i="107"/>
  <c r="B1" i="107"/>
  <c r="K115" i="78"/>
  <c r="R114" i="78"/>
  <c r="K114" i="78"/>
  <c r="Y92" i="78"/>
  <c r="T92" i="78"/>
  <c r="Q92" i="78"/>
  <c r="F92" i="78"/>
  <c r="Y70" i="78"/>
  <c r="T70" i="78"/>
  <c r="Q70" i="78"/>
  <c r="S50" i="78"/>
  <c r="T50" i="78" s="1"/>
  <c r="U49" i="78"/>
  <c r="T49" i="78"/>
  <c r="S49" i="78"/>
  <c r="Y48" i="78"/>
  <c r="Q48" i="78"/>
  <c r="F48" i="78"/>
  <c r="F70" i="78" s="1"/>
  <c r="E48" i="78"/>
  <c r="E70" i="78" s="1"/>
  <c r="E92" i="78" s="1"/>
  <c r="D48" i="78"/>
  <c r="D70" i="78" s="1"/>
  <c r="D92" i="78" s="1"/>
  <c r="U37" i="78"/>
  <c r="S36" i="78"/>
  <c r="T36" i="78" s="1"/>
  <c r="U36" i="78" s="1"/>
  <c r="U35" i="78"/>
  <c r="T35" i="78"/>
  <c r="S35" i="78"/>
  <c r="T34" i="78"/>
  <c r="U34" i="78" s="1"/>
  <c r="S34" i="78"/>
  <c r="T33" i="78"/>
  <c r="U33" i="78" s="1"/>
  <c r="S33" i="78"/>
  <c r="S32" i="78"/>
  <c r="T32" i="78" s="1"/>
  <c r="U32" i="78" s="1"/>
  <c r="S31" i="78"/>
  <c r="S30" i="78"/>
  <c r="T31" i="78" s="1"/>
  <c r="U31" i="78" s="1"/>
  <c r="S29" i="78"/>
  <c r="T29" i="78" s="1"/>
  <c r="U29" i="78" s="1"/>
  <c r="Y28" i="78"/>
  <c r="T28" i="78"/>
  <c r="U28" i="78" s="1"/>
  <c r="S28" i="78"/>
  <c r="Y27" i="78"/>
  <c r="S27" i="78"/>
  <c r="T27" i="78" s="1"/>
  <c r="AD26" i="78"/>
  <c r="Y26" i="78"/>
  <c r="Z26" i="78" s="1"/>
  <c r="Q26" i="78"/>
  <c r="P26" i="78"/>
  <c r="G26" i="78"/>
  <c r="G48" i="78" s="1"/>
  <c r="G70" i="78" s="1"/>
  <c r="G92" i="78" s="1"/>
  <c r="F26" i="78"/>
  <c r="E26" i="78"/>
  <c r="D26" i="78"/>
  <c r="C26" i="78"/>
  <c r="C48" i="78" s="1"/>
  <c r="C70" i="78" s="1"/>
  <c r="C92" i="78" s="1"/>
  <c r="B26" i="78"/>
  <c r="B48" i="78" s="1"/>
  <c r="B70" i="78" s="1"/>
  <c r="B92" i="78" s="1"/>
  <c r="S8" i="78"/>
  <c r="T8" i="78" s="1"/>
  <c r="U8" i="78" s="1"/>
  <c r="S7" i="78"/>
  <c r="U6" i="78"/>
  <c r="T6" i="78"/>
  <c r="S6" i="78"/>
  <c r="T7" i="78" s="1"/>
  <c r="U7" i="78" s="1"/>
  <c r="Y5" i="78"/>
  <c r="T5" i="78"/>
  <c r="T4" i="78" s="1"/>
  <c r="S5" i="78"/>
  <c r="AD4" i="78"/>
  <c r="Z4" i="78"/>
  <c r="Y4" i="78"/>
  <c r="Q4" i="78"/>
  <c r="P4" i="78"/>
  <c r="B1" i="78"/>
  <c r="R114" i="37"/>
  <c r="K114" i="37"/>
  <c r="K115" i="37" s="1"/>
  <c r="Y92" i="37"/>
  <c r="T92" i="37"/>
  <c r="Q92" i="37"/>
  <c r="Y70" i="37"/>
  <c r="T70" i="37"/>
  <c r="Q70" i="37"/>
  <c r="E70" i="37"/>
  <c r="E92" i="37" s="1"/>
  <c r="T50" i="37"/>
  <c r="U50" i="37" s="1"/>
  <c r="S50" i="37"/>
  <c r="T49" i="37"/>
  <c r="S49" i="37"/>
  <c r="Y48" i="37"/>
  <c r="Q48" i="37"/>
  <c r="G48" i="37"/>
  <c r="G70" i="37" s="1"/>
  <c r="G92" i="37" s="1"/>
  <c r="D48" i="37"/>
  <c r="D70" i="37" s="1"/>
  <c r="D92" i="37" s="1"/>
  <c r="S32" i="37"/>
  <c r="T32" i="37" s="1"/>
  <c r="U32" i="37" s="1"/>
  <c r="S31" i="37"/>
  <c r="T31" i="37" s="1"/>
  <c r="U31" i="37" s="1"/>
  <c r="U30" i="37"/>
  <c r="T30" i="37"/>
  <c r="S30" i="37"/>
  <c r="T29" i="37"/>
  <c r="U29" i="37" s="1"/>
  <c r="S29" i="37"/>
  <c r="Y28" i="37"/>
  <c r="U28" i="37"/>
  <c r="T28" i="37"/>
  <c r="S28" i="37"/>
  <c r="Y27" i="37"/>
  <c r="T27" i="37"/>
  <c r="U27" i="37" s="1"/>
  <c r="S27" i="37"/>
  <c r="AD26" i="37"/>
  <c r="Y26" i="37"/>
  <c r="Q26" i="37"/>
  <c r="P26" i="37"/>
  <c r="G26" i="37"/>
  <c r="F26" i="37"/>
  <c r="F48" i="37" s="1"/>
  <c r="F70" i="37" s="1"/>
  <c r="F92" i="37" s="1"/>
  <c r="E26" i="37"/>
  <c r="E48" i="37" s="1"/>
  <c r="D26" i="37"/>
  <c r="C26" i="37"/>
  <c r="C48" i="37" s="1"/>
  <c r="C70" i="37" s="1"/>
  <c r="C92" i="37" s="1"/>
  <c r="B26" i="37"/>
  <c r="B48" i="37" s="1"/>
  <c r="B70" i="37" s="1"/>
  <c r="B92" i="37" s="1"/>
  <c r="S16" i="37"/>
  <c r="T16" i="37" s="1"/>
  <c r="U16" i="37" s="1"/>
  <c r="S15" i="37"/>
  <c r="T15" i="37" s="1"/>
  <c r="U15" i="37" s="1"/>
  <c r="S14" i="37"/>
  <c r="S13" i="37"/>
  <c r="S12" i="37"/>
  <c r="T12" i="37" s="1"/>
  <c r="U12" i="37" s="1"/>
  <c r="U11" i="37"/>
  <c r="T11" i="37"/>
  <c r="S11" i="37"/>
  <c r="T10" i="37"/>
  <c r="U10" i="37" s="1"/>
  <c r="S10" i="37"/>
  <c r="T9" i="37"/>
  <c r="U9" i="37" s="1"/>
  <c r="S9" i="37"/>
  <c r="S8" i="37"/>
  <c r="T8" i="37" s="1"/>
  <c r="U8" i="37" s="1"/>
  <c r="U7" i="37"/>
  <c r="S7" i="37"/>
  <c r="T7" i="37" s="1"/>
  <c r="S6" i="37"/>
  <c r="S5" i="37"/>
  <c r="AD4" i="37"/>
  <c r="Z4" i="37"/>
  <c r="Q4" i="37"/>
  <c r="P4" i="37"/>
  <c r="B1" i="37"/>
  <c r="R114" i="106"/>
  <c r="K114" i="106"/>
  <c r="K115" i="106" s="1"/>
  <c r="U113" i="106"/>
  <c r="U112" i="106"/>
  <c r="U111" i="106"/>
  <c r="U110" i="106"/>
  <c r="U109" i="106"/>
  <c r="U108" i="106"/>
  <c r="U107" i="106"/>
  <c r="U106" i="106"/>
  <c r="U105" i="106"/>
  <c r="U104" i="106"/>
  <c r="U103" i="106"/>
  <c r="U102" i="106"/>
  <c r="U101" i="106"/>
  <c r="U100" i="106"/>
  <c r="U99" i="106"/>
  <c r="U98" i="106"/>
  <c r="U97" i="106"/>
  <c r="U96" i="106"/>
  <c r="U95" i="106"/>
  <c r="U94" i="106"/>
  <c r="U93" i="106"/>
  <c r="Y92" i="106"/>
  <c r="Y114" i="106" s="1"/>
  <c r="T92" i="106"/>
  <c r="Q92" i="106"/>
  <c r="U92" i="106" s="1"/>
  <c r="C92" i="106"/>
  <c r="U91" i="106"/>
  <c r="U90" i="106"/>
  <c r="U89" i="106"/>
  <c r="U88" i="106"/>
  <c r="U87" i="106"/>
  <c r="U86" i="106"/>
  <c r="U85" i="106"/>
  <c r="U84" i="106"/>
  <c r="U83" i="106"/>
  <c r="U82" i="106"/>
  <c r="U81" i="106"/>
  <c r="U80" i="106"/>
  <c r="U79" i="106"/>
  <c r="U78" i="106"/>
  <c r="U77" i="106"/>
  <c r="U76" i="106"/>
  <c r="T75" i="106"/>
  <c r="U75" i="106" s="1"/>
  <c r="S75" i="106"/>
  <c r="S74" i="106"/>
  <c r="T74" i="106" s="1"/>
  <c r="U74" i="106" s="1"/>
  <c r="S73" i="106"/>
  <c r="Y72" i="106"/>
  <c r="S72" i="106"/>
  <c r="T72" i="106" s="1"/>
  <c r="U72" i="106" s="1"/>
  <c r="Y71" i="106"/>
  <c r="U71" i="106"/>
  <c r="T71" i="106"/>
  <c r="S71" i="106"/>
  <c r="Z70" i="106"/>
  <c r="Y70" i="106"/>
  <c r="Q70" i="106"/>
  <c r="P70" i="106"/>
  <c r="G70" i="106"/>
  <c r="G92" i="106" s="1"/>
  <c r="C70" i="106"/>
  <c r="S55" i="106"/>
  <c r="T55" i="106" s="1"/>
  <c r="U55" i="106" s="1"/>
  <c r="S54" i="106"/>
  <c r="T54" i="106" s="1"/>
  <c r="U54" i="106" s="1"/>
  <c r="S53" i="106"/>
  <c r="T53" i="106" s="1"/>
  <c r="U53" i="106" s="1"/>
  <c r="S52" i="106"/>
  <c r="S51" i="106"/>
  <c r="T52" i="106" s="1"/>
  <c r="U52" i="106" s="1"/>
  <c r="Y50" i="106"/>
  <c r="S50" i="106"/>
  <c r="T50" i="106" s="1"/>
  <c r="U50" i="106" s="1"/>
  <c r="Y49" i="106"/>
  <c r="T49" i="106"/>
  <c r="S49" i="106"/>
  <c r="Y48" i="106"/>
  <c r="Z48" i="106" s="1"/>
  <c r="Q48" i="106"/>
  <c r="P48" i="106"/>
  <c r="F48" i="106"/>
  <c r="F70" i="106" s="1"/>
  <c r="F92" i="106" s="1"/>
  <c r="C48" i="106"/>
  <c r="U31" i="106"/>
  <c r="T31" i="106"/>
  <c r="S31" i="106"/>
  <c r="T30" i="106"/>
  <c r="U30" i="106" s="1"/>
  <c r="S30" i="106"/>
  <c r="S29" i="106"/>
  <c r="T29" i="106" s="1"/>
  <c r="U29" i="106" s="1"/>
  <c r="S28" i="106"/>
  <c r="T28" i="106" s="1"/>
  <c r="U28" i="106" s="1"/>
  <c r="Y27" i="106"/>
  <c r="T27" i="106"/>
  <c r="U27" i="106" s="1"/>
  <c r="S27" i="106"/>
  <c r="AD26" i="106"/>
  <c r="Z26" i="106"/>
  <c r="Y26" i="106"/>
  <c r="Q26" i="106"/>
  <c r="P26" i="106"/>
  <c r="G26" i="106"/>
  <c r="G48" i="106" s="1"/>
  <c r="F26" i="106"/>
  <c r="E26" i="106"/>
  <c r="E48" i="106" s="1"/>
  <c r="E70" i="106" s="1"/>
  <c r="E92" i="106" s="1"/>
  <c r="D26" i="106"/>
  <c r="D48" i="106" s="1"/>
  <c r="D70" i="106" s="1"/>
  <c r="D92" i="106" s="1"/>
  <c r="C26" i="106"/>
  <c r="B26" i="106"/>
  <c r="B48" i="106" s="1"/>
  <c r="B70" i="106" s="1"/>
  <c r="B92" i="106" s="1"/>
  <c r="S9" i="106"/>
  <c r="T9" i="106" s="1"/>
  <c r="U9" i="106" s="1"/>
  <c r="S8" i="106"/>
  <c r="S7" i="106"/>
  <c r="T8" i="106" s="1"/>
  <c r="U8" i="106" s="1"/>
  <c r="S6" i="106"/>
  <c r="Y5" i="106"/>
  <c r="S5" i="106"/>
  <c r="AD4" i="106"/>
  <c r="Y4" i="106"/>
  <c r="Z4" i="106" s="1"/>
  <c r="Q4" i="106"/>
  <c r="P4" i="106"/>
  <c r="B1" i="106"/>
  <c r="K115" i="105"/>
  <c r="R114" i="105"/>
  <c r="K114" i="105"/>
  <c r="Y92" i="105"/>
  <c r="T92" i="105"/>
  <c r="Q92" i="105"/>
  <c r="Y70" i="105"/>
  <c r="Y114" i="105" s="1"/>
  <c r="T70" i="105"/>
  <c r="Q70" i="105"/>
  <c r="S50" i="105"/>
  <c r="T50" i="105" s="1"/>
  <c r="U50" i="105" s="1"/>
  <c r="U49" i="105"/>
  <c r="S49" i="105"/>
  <c r="T49" i="105" s="1"/>
  <c r="T48" i="105" s="1"/>
  <c r="Y48" i="105"/>
  <c r="Q48" i="105"/>
  <c r="U37" i="105"/>
  <c r="S36" i="105"/>
  <c r="T36" i="105" s="1"/>
  <c r="U36" i="105" s="1"/>
  <c r="U35" i="105"/>
  <c r="S35" i="105"/>
  <c r="T35" i="105" s="1"/>
  <c r="S34" i="105"/>
  <c r="S33" i="105"/>
  <c r="T34" i="105" s="1"/>
  <c r="U34" i="105" s="1"/>
  <c r="T32" i="105"/>
  <c r="U32" i="105" s="1"/>
  <c r="S32" i="105"/>
  <c r="U31" i="105"/>
  <c r="T31" i="105"/>
  <c r="S31" i="105"/>
  <c r="S30" i="105"/>
  <c r="S29" i="105"/>
  <c r="T29" i="105" s="1"/>
  <c r="U29" i="105" s="1"/>
  <c r="Y28" i="105"/>
  <c r="S28" i="105"/>
  <c r="T28" i="105" s="1"/>
  <c r="Y27" i="105"/>
  <c r="S27" i="105"/>
  <c r="T27" i="105" s="1"/>
  <c r="U27" i="105" s="1"/>
  <c r="AD26" i="105"/>
  <c r="Y26" i="105"/>
  <c r="Z26" i="105" s="1"/>
  <c r="Q26" i="105"/>
  <c r="P26" i="105"/>
  <c r="G26" i="105"/>
  <c r="G48" i="105" s="1"/>
  <c r="G70" i="105" s="1"/>
  <c r="G92" i="105" s="1"/>
  <c r="F26" i="105"/>
  <c r="F48" i="105" s="1"/>
  <c r="F70" i="105" s="1"/>
  <c r="F92" i="105" s="1"/>
  <c r="E26" i="105"/>
  <c r="E48" i="105" s="1"/>
  <c r="E70" i="105" s="1"/>
  <c r="E92" i="105" s="1"/>
  <c r="D26" i="105"/>
  <c r="D48" i="105" s="1"/>
  <c r="D70" i="105" s="1"/>
  <c r="D92" i="105" s="1"/>
  <c r="C26" i="105"/>
  <c r="C48" i="105" s="1"/>
  <c r="C70" i="105" s="1"/>
  <c r="C92" i="105" s="1"/>
  <c r="B26" i="105"/>
  <c r="B48" i="105" s="1"/>
  <c r="B70" i="105" s="1"/>
  <c r="B92" i="105" s="1"/>
  <c r="T12" i="105"/>
  <c r="U12" i="105" s="1"/>
  <c r="S12" i="105"/>
  <c r="T11" i="105"/>
  <c r="U11" i="105" s="1"/>
  <c r="S11" i="105"/>
  <c r="T10" i="105"/>
  <c r="U10" i="105" s="1"/>
  <c r="S10" i="105"/>
  <c r="S9" i="105"/>
  <c r="T9" i="105" s="1"/>
  <c r="U9" i="105" s="1"/>
  <c r="S8" i="105"/>
  <c r="S7" i="105"/>
  <c r="T7" i="105" s="1"/>
  <c r="U7" i="105" s="1"/>
  <c r="T6" i="105"/>
  <c r="U6" i="105" s="1"/>
  <c r="S6" i="105"/>
  <c r="Y5" i="105"/>
  <c r="S5" i="105"/>
  <c r="T5" i="105" s="1"/>
  <c r="AD4" i="105"/>
  <c r="Y4" i="105"/>
  <c r="Z4" i="105" s="1"/>
  <c r="Q4" i="105"/>
  <c r="P4" i="105"/>
  <c r="B1" i="105"/>
  <c r="R114" i="52"/>
  <c r="K114" i="52"/>
  <c r="K115" i="52" s="1"/>
  <c r="Y92" i="52"/>
  <c r="Y114" i="52" s="1"/>
  <c r="T92" i="52"/>
  <c r="Q92" i="52"/>
  <c r="Y70" i="52"/>
  <c r="T70" i="52"/>
  <c r="Q70" i="52"/>
  <c r="E70" i="52"/>
  <c r="E92" i="52" s="1"/>
  <c r="D70" i="52"/>
  <c r="D92" i="52" s="1"/>
  <c r="C70" i="52"/>
  <c r="C92" i="52" s="1"/>
  <c r="S50" i="52"/>
  <c r="S49" i="52"/>
  <c r="T50" i="52" s="1"/>
  <c r="U50" i="52" s="1"/>
  <c r="Y48" i="52"/>
  <c r="Q48" i="52"/>
  <c r="G48" i="52"/>
  <c r="G70" i="52" s="1"/>
  <c r="G92" i="52" s="1"/>
  <c r="E48" i="52"/>
  <c r="D48" i="52"/>
  <c r="C48" i="52"/>
  <c r="B48" i="52"/>
  <c r="B70" i="52" s="1"/>
  <c r="B92" i="52" s="1"/>
  <c r="S32" i="52"/>
  <c r="T32" i="52" s="1"/>
  <c r="U32" i="52" s="1"/>
  <c r="S31" i="52"/>
  <c r="T31" i="52" s="1"/>
  <c r="U31" i="52" s="1"/>
  <c r="T30" i="52"/>
  <c r="U30" i="52" s="1"/>
  <c r="S30" i="52"/>
  <c r="S29" i="52"/>
  <c r="Y28" i="52"/>
  <c r="S28" i="52"/>
  <c r="T29" i="52" s="1"/>
  <c r="U29" i="52" s="1"/>
  <c r="Y27" i="52"/>
  <c r="T27" i="52"/>
  <c r="U27" i="52" s="1"/>
  <c r="S27" i="52"/>
  <c r="AD26" i="52"/>
  <c r="Y26" i="52"/>
  <c r="Q26" i="52"/>
  <c r="P26" i="52"/>
  <c r="G26" i="52"/>
  <c r="F26" i="52"/>
  <c r="F48" i="52" s="1"/>
  <c r="F70" i="52" s="1"/>
  <c r="F92" i="52" s="1"/>
  <c r="E26" i="52"/>
  <c r="D26" i="52"/>
  <c r="C26" i="52"/>
  <c r="B26" i="52"/>
  <c r="U6" i="52"/>
  <c r="T6" i="52"/>
  <c r="S6" i="52"/>
  <c r="Y5" i="52"/>
  <c r="S5" i="52"/>
  <c r="T5" i="52" s="1"/>
  <c r="AD4" i="52"/>
  <c r="Z4" i="52"/>
  <c r="Y4" i="52"/>
  <c r="Q4" i="52"/>
  <c r="P4" i="52"/>
  <c r="B1" i="52"/>
  <c r="Y114" i="102"/>
  <c r="R114" i="102"/>
  <c r="K114" i="102"/>
  <c r="K115" i="102" s="1"/>
  <c r="Y92" i="102"/>
  <c r="T92" i="102"/>
  <c r="Q92" i="102"/>
  <c r="Y70" i="102"/>
  <c r="T70" i="102"/>
  <c r="Q70" i="102"/>
  <c r="G70" i="102"/>
  <c r="G92" i="102" s="1"/>
  <c r="E70" i="102"/>
  <c r="E92" i="102" s="1"/>
  <c r="S50" i="102"/>
  <c r="T50" i="102" s="1"/>
  <c r="U50" i="102" s="1"/>
  <c r="T49" i="102"/>
  <c r="S49" i="102"/>
  <c r="Y48" i="102"/>
  <c r="Q48" i="102"/>
  <c r="G48" i="102"/>
  <c r="E48" i="102"/>
  <c r="D48" i="102"/>
  <c r="D70" i="102" s="1"/>
  <c r="D92" i="102" s="1"/>
  <c r="C48" i="102"/>
  <c r="C70" i="102" s="1"/>
  <c r="C92" i="102" s="1"/>
  <c r="S39" i="102"/>
  <c r="T39" i="102" s="1"/>
  <c r="U39" i="102" s="1"/>
  <c r="S38" i="102"/>
  <c r="T38" i="102" s="1"/>
  <c r="U38" i="102" s="1"/>
  <c r="S37" i="102"/>
  <c r="T37" i="102" s="1"/>
  <c r="U37" i="102" s="1"/>
  <c r="S36" i="102"/>
  <c r="T36" i="102" s="1"/>
  <c r="U36" i="102" s="1"/>
  <c r="T35" i="102"/>
  <c r="U35" i="102" s="1"/>
  <c r="S35" i="102"/>
  <c r="S34" i="102"/>
  <c r="S33" i="102"/>
  <c r="T34" i="102" s="1"/>
  <c r="U34" i="102" s="1"/>
  <c r="U32" i="102"/>
  <c r="T32" i="102"/>
  <c r="S32" i="102"/>
  <c r="S31" i="102"/>
  <c r="T31" i="102" s="1"/>
  <c r="U31" i="102" s="1"/>
  <c r="S30" i="102"/>
  <c r="T30" i="102" s="1"/>
  <c r="U30" i="102" s="1"/>
  <c r="S29" i="102"/>
  <c r="T29" i="102" s="1"/>
  <c r="U29" i="102" s="1"/>
  <c r="Y28" i="102"/>
  <c r="S28" i="102"/>
  <c r="T28" i="102" s="1"/>
  <c r="U28" i="102" s="1"/>
  <c r="Y27" i="102"/>
  <c r="S27" i="102"/>
  <c r="T27" i="102" s="1"/>
  <c r="AD26" i="102"/>
  <c r="Y26" i="102"/>
  <c r="Z26" i="102" s="1"/>
  <c r="Q26" i="102"/>
  <c r="P26" i="102"/>
  <c r="G26" i="102"/>
  <c r="F26" i="102"/>
  <c r="F48" i="102" s="1"/>
  <c r="F70" i="102" s="1"/>
  <c r="F92" i="102" s="1"/>
  <c r="E26" i="102"/>
  <c r="D26" i="102"/>
  <c r="C26" i="102"/>
  <c r="B26" i="102"/>
  <c r="B48" i="102" s="1"/>
  <c r="B70" i="102" s="1"/>
  <c r="B92" i="102" s="1"/>
  <c r="U16" i="102"/>
  <c r="T16" i="102"/>
  <c r="S16" i="102"/>
  <c r="S15" i="102"/>
  <c r="T15" i="102" s="1"/>
  <c r="U15" i="102" s="1"/>
  <c r="S14" i="102"/>
  <c r="T14" i="102" s="1"/>
  <c r="U14" i="102" s="1"/>
  <c r="S13" i="102"/>
  <c r="T13" i="102" s="1"/>
  <c r="U13" i="102" s="1"/>
  <c r="S12" i="102"/>
  <c r="T12" i="102" s="1"/>
  <c r="U12" i="102" s="1"/>
  <c r="T11" i="102"/>
  <c r="U11" i="102" s="1"/>
  <c r="S11" i="102"/>
  <c r="S10" i="102"/>
  <c r="S9" i="102"/>
  <c r="T10" i="102" s="1"/>
  <c r="U10" i="102" s="1"/>
  <c r="U8" i="102"/>
  <c r="T8" i="102"/>
  <c r="S8" i="102"/>
  <c r="S7" i="102"/>
  <c r="T7" i="102" s="1"/>
  <c r="U7" i="102" s="1"/>
  <c r="S6" i="102"/>
  <c r="T6" i="102" s="1"/>
  <c r="U6" i="102" s="1"/>
  <c r="S5" i="102"/>
  <c r="T5" i="102" s="1"/>
  <c r="AD4" i="102"/>
  <c r="Y4" i="102"/>
  <c r="Z4" i="102" s="1"/>
  <c r="Q4" i="102"/>
  <c r="P4" i="102"/>
  <c r="B1" i="102"/>
  <c r="R114" i="77"/>
  <c r="K114" i="77"/>
  <c r="K115" i="77" s="1"/>
  <c r="Y92" i="77"/>
  <c r="Y114" i="77" s="1"/>
  <c r="T92" i="77"/>
  <c r="Q92" i="77"/>
  <c r="Y70" i="77"/>
  <c r="T70" i="77"/>
  <c r="Q70" i="77"/>
  <c r="B70" i="77"/>
  <c r="B92" i="77" s="1"/>
  <c r="S50" i="77"/>
  <c r="T50" i="77" s="1"/>
  <c r="U50" i="77" s="1"/>
  <c r="S49" i="77"/>
  <c r="T49" i="77" s="1"/>
  <c r="Y48" i="77"/>
  <c r="Q48" i="77"/>
  <c r="B48" i="77"/>
  <c r="U33" i="77"/>
  <c r="T33" i="77"/>
  <c r="S33" i="77"/>
  <c r="S32" i="77"/>
  <c r="T32" i="77" s="1"/>
  <c r="U32" i="77" s="1"/>
  <c r="S31" i="77"/>
  <c r="T31" i="77" s="1"/>
  <c r="U31" i="77" s="1"/>
  <c r="S30" i="77"/>
  <c r="T30" i="77" s="1"/>
  <c r="U30" i="77" s="1"/>
  <c r="S29" i="77"/>
  <c r="T29" i="77" s="1"/>
  <c r="U29" i="77" s="1"/>
  <c r="Y28" i="77"/>
  <c r="U28" i="77"/>
  <c r="T28" i="77"/>
  <c r="S28" i="77"/>
  <c r="Y27" i="77"/>
  <c r="S27" i="77"/>
  <c r="T27" i="77" s="1"/>
  <c r="AD26" i="77"/>
  <c r="Z26" i="77"/>
  <c r="Y26" i="77"/>
  <c r="Q26" i="77"/>
  <c r="P26" i="77"/>
  <c r="G26" i="77"/>
  <c r="G48" i="77" s="1"/>
  <c r="G70" i="77" s="1"/>
  <c r="G92" i="77" s="1"/>
  <c r="F26" i="77"/>
  <c r="F48" i="77" s="1"/>
  <c r="F70" i="77" s="1"/>
  <c r="F92" i="77" s="1"/>
  <c r="E26" i="77"/>
  <c r="E48" i="77" s="1"/>
  <c r="E70" i="77" s="1"/>
  <c r="E92" i="77" s="1"/>
  <c r="D26" i="77"/>
  <c r="D48" i="77" s="1"/>
  <c r="D70" i="77" s="1"/>
  <c r="D92" i="77" s="1"/>
  <c r="C26" i="77"/>
  <c r="C48" i="77" s="1"/>
  <c r="C70" i="77" s="1"/>
  <c r="C92" i="77" s="1"/>
  <c r="B26" i="77"/>
  <c r="S11" i="77"/>
  <c r="T11" i="77" s="1"/>
  <c r="U11" i="77" s="1"/>
  <c r="S10" i="77"/>
  <c r="T10" i="77" s="1"/>
  <c r="U10" i="77" s="1"/>
  <c r="S9" i="77"/>
  <c r="T9" i="77" s="1"/>
  <c r="U9" i="77" s="1"/>
  <c r="S8" i="77"/>
  <c r="T8" i="77" s="1"/>
  <c r="U8" i="77" s="1"/>
  <c r="T7" i="77"/>
  <c r="U7" i="77" s="1"/>
  <c r="S7" i="77"/>
  <c r="S6" i="77"/>
  <c r="Y5" i="77"/>
  <c r="S5" i="77"/>
  <c r="T6" i="77" s="1"/>
  <c r="U6" i="77" s="1"/>
  <c r="AD4" i="77"/>
  <c r="Y4" i="77"/>
  <c r="Z4" i="77" s="1"/>
  <c r="Q4" i="77"/>
  <c r="P4" i="77"/>
  <c r="B1" i="77"/>
  <c r="K115" i="79"/>
  <c r="R114" i="79"/>
  <c r="K114" i="79"/>
  <c r="Y92" i="79"/>
  <c r="T92" i="79"/>
  <c r="Q92" i="79"/>
  <c r="Y70" i="79"/>
  <c r="T70" i="79"/>
  <c r="Q70" i="79"/>
  <c r="G70" i="79"/>
  <c r="G92" i="79" s="1"/>
  <c r="S50" i="79"/>
  <c r="T50" i="79" s="1"/>
  <c r="U50" i="79" s="1"/>
  <c r="S49" i="79"/>
  <c r="T49" i="79" s="1"/>
  <c r="Y48" i="79"/>
  <c r="Q48" i="79"/>
  <c r="G48" i="79"/>
  <c r="F48" i="79"/>
  <c r="F70" i="79" s="1"/>
  <c r="F92" i="79" s="1"/>
  <c r="E48" i="79"/>
  <c r="E70" i="79" s="1"/>
  <c r="E92" i="79" s="1"/>
  <c r="Y28" i="79"/>
  <c r="S28" i="79"/>
  <c r="T28" i="79" s="1"/>
  <c r="Y27" i="79"/>
  <c r="T27" i="79"/>
  <c r="U27" i="79" s="1"/>
  <c r="S27" i="79"/>
  <c r="AD26" i="79"/>
  <c r="Y26" i="79"/>
  <c r="Z26" i="79" s="1"/>
  <c r="Q26" i="79"/>
  <c r="P26" i="79"/>
  <c r="G26" i="79"/>
  <c r="F26" i="79"/>
  <c r="E26" i="79"/>
  <c r="D26" i="79"/>
  <c r="D48" i="79" s="1"/>
  <c r="D70" i="79" s="1"/>
  <c r="D92" i="79" s="1"/>
  <c r="C26" i="79"/>
  <c r="C48" i="79" s="1"/>
  <c r="C70" i="79" s="1"/>
  <c r="C92" i="79" s="1"/>
  <c r="B26" i="79"/>
  <c r="B48" i="79" s="1"/>
  <c r="B70" i="79" s="1"/>
  <c r="B92" i="79" s="1"/>
  <c r="S11" i="79"/>
  <c r="T11" i="79" s="1"/>
  <c r="U11" i="79" s="1"/>
  <c r="S10" i="79"/>
  <c r="T10" i="79" s="1"/>
  <c r="U10" i="79" s="1"/>
  <c r="T9" i="79"/>
  <c r="U9" i="79" s="1"/>
  <c r="S9" i="79"/>
  <c r="S8" i="79"/>
  <c r="S7" i="79"/>
  <c r="T8" i="79" s="1"/>
  <c r="U8" i="79" s="1"/>
  <c r="U6" i="79"/>
  <c r="T6" i="79"/>
  <c r="S6" i="79"/>
  <c r="Y5" i="79"/>
  <c r="S5" i="79"/>
  <c r="T5" i="79" s="1"/>
  <c r="AD4" i="79"/>
  <c r="Z4" i="79"/>
  <c r="Y4" i="79"/>
  <c r="Q4" i="79"/>
  <c r="P4" i="79"/>
  <c r="B1" i="79"/>
  <c r="R114" i="38"/>
  <c r="K114" i="38"/>
  <c r="K115" i="38" s="1"/>
  <c r="Y92" i="38"/>
  <c r="T92" i="38"/>
  <c r="Q92" i="38"/>
  <c r="Y70" i="38"/>
  <c r="T70" i="38"/>
  <c r="Q70" i="38"/>
  <c r="E70" i="38"/>
  <c r="E92" i="38" s="1"/>
  <c r="S50" i="38"/>
  <c r="T50" i="38" s="1"/>
  <c r="U50" i="38" s="1"/>
  <c r="T49" i="38"/>
  <c r="S49" i="38"/>
  <c r="Y48" i="38"/>
  <c r="Q48" i="38"/>
  <c r="G48" i="38"/>
  <c r="G70" i="38" s="1"/>
  <c r="G92" i="38" s="1"/>
  <c r="E48" i="38"/>
  <c r="D48" i="38"/>
  <c r="D70" i="38" s="1"/>
  <c r="D92" i="38" s="1"/>
  <c r="S32" i="38"/>
  <c r="T32" i="38" s="1"/>
  <c r="U32" i="38" s="1"/>
  <c r="S31" i="38"/>
  <c r="T31" i="38" s="1"/>
  <c r="U31" i="38" s="1"/>
  <c r="S30" i="38"/>
  <c r="T30" i="38" s="1"/>
  <c r="T29" i="38"/>
  <c r="U29" i="38" s="1"/>
  <c r="S29" i="38"/>
  <c r="Y28" i="38"/>
  <c r="U28" i="38"/>
  <c r="T28" i="38"/>
  <c r="S28" i="38"/>
  <c r="Y27" i="38"/>
  <c r="T27" i="38"/>
  <c r="U27" i="38" s="1"/>
  <c r="S27" i="38"/>
  <c r="AD26" i="38"/>
  <c r="Y26" i="38"/>
  <c r="Y114" i="38" s="1"/>
  <c r="Q26" i="38"/>
  <c r="P26" i="38"/>
  <c r="G26" i="38"/>
  <c r="F26" i="38"/>
  <c r="F48" i="38" s="1"/>
  <c r="F70" i="38" s="1"/>
  <c r="F92" i="38" s="1"/>
  <c r="E26" i="38"/>
  <c r="D26" i="38"/>
  <c r="C26" i="38"/>
  <c r="C48" i="38" s="1"/>
  <c r="C70" i="38" s="1"/>
  <c r="C92" i="38" s="1"/>
  <c r="B26" i="38"/>
  <c r="B48" i="38" s="1"/>
  <c r="B70" i="38" s="1"/>
  <c r="B92" i="38" s="1"/>
  <c r="S11" i="38"/>
  <c r="S10" i="38"/>
  <c r="T11" i="38" s="1"/>
  <c r="U11" i="38" s="1"/>
  <c r="U9" i="38"/>
  <c r="T9" i="38"/>
  <c r="S9" i="38"/>
  <c r="S8" i="38"/>
  <c r="T8" i="38" s="1"/>
  <c r="U8" i="38" s="1"/>
  <c r="S7" i="38"/>
  <c r="T7" i="38" s="1"/>
  <c r="U7" i="38" s="1"/>
  <c r="S6" i="38"/>
  <c r="T6" i="38" s="1"/>
  <c r="U6" i="38" s="1"/>
  <c r="T5" i="38"/>
  <c r="S5" i="38"/>
  <c r="AD4" i="38"/>
  <c r="Z4" i="38"/>
  <c r="Y4" i="38"/>
  <c r="Q4" i="38"/>
  <c r="P4" i="38"/>
  <c r="B1" i="38"/>
  <c r="Y114" i="51"/>
  <c r="R114" i="51"/>
  <c r="K114" i="51"/>
  <c r="K115" i="51" s="1"/>
  <c r="Y92" i="51"/>
  <c r="T92" i="51"/>
  <c r="Q92" i="51"/>
  <c r="Y70" i="51"/>
  <c r="T70" i="51"/>
  <c r="Q70" i="51"/>
  <c r="E70" i="51"/>
  <c r="E92" i="51" s="1"/>
  <c r="S50" i="51"/>
  <c r="T49" i="51"/>
  <c r="S49" i="51"/>
  <c r="T50" i="51" s="1"/>
  <c r="U50" i="51" s="1"/>
  <c r="Y48" i="51"/>
  <c r="Q48" i="51"/>
  <c r="G48" i="51"/>
  <c r="G70" i="51" s="1"/>
  <c r="G92" i="51" s="1"/>
  <c r="E48" i="51"/>
  <c r="D48" i="51"/>
  <c r="D70" i="51" s="1"/>
  <c r="D92" i="51" s="1"/>
  <c r="C48" i="51"/>
  <c r="C70" i="51" s="1"/>
  <c r="C92" i="51" s="1"/>
  <c r="S31" i="51"/>
  <c r="T31" i="51" s="1"/>
  <c r="U31" i="51" s="1"/>
  <c r="S30" i="51"/>
  <c r="T30" i="51" s="1"/>
  <c r="U30" i="51" s="1"/>
  <c r="S29" i="51"/>
  <c r="T29" i="51" s="1"/>
  <c r="U29" i="51" s="1"/>
  <c r="Y28" i="51"/>
  <c r="S28" i="51"/>
  <c r="T28" i="51" s="1"/>
  <c r="U28" i="51" s="1"/>
  <c r="Y27" i="51"/>
  <c r="S27" i="51"/>
  <c r="T27" i="51" s="1"/>
  <c r="AD26" i="51"/>
  <c r="Z26" i="51"/>
  <c r="Y26" i="51"/>
  <c r="Q26" i="51"/>
  <c r="P26" i="51"/>
  <c r="G26" i="51"/>
  <c r="F26" i="51"/>
  <c r="F48" i="51" s="1"/>
  <c r="F70" i="51" s="1"/>
  <c r="F92" i="51" s="1"/>
  <c r="E26" i="51"/>
  <c r="D26" i="51"/>
  <c r="C26" i="51"/>
  <c r="B26" i="51"/>
  <c r="B48" i="51" s="1"/>
  <c r="B70" i="51" s="1"/>
  <c r="B92" i="51" s="1"/>
  <c r="U9" i="51"/>
  <c r="T9" i="51"/>
  <c r="S9" i="51"/>
  <c r="S8" i="51"/>
  <c r="T8" i="51" s="1"/>
  <c r="U8" i="51" s="1"/>
  <c r="S7" i="51"/>
  <c r="T7" i="51" s="1"/>
  <c r="U7" i="51" s="1"/>
  <c r="S6" i="51"/>
  <c r="T6" i="51" s="1"/>
  <c r="U6" i="51" s="1"/>
  <c r="Y5" i="51"/>
  <c r="S5" i="51"/>
  <c r="T5" i="51" s="1"/>
  <c r="AD4" i="51"/>
  <c r="Z4" i="51"/>
  <c r="Y4" i="51"/>
  <c r="Q4" i="51"/>
  <c r="P4" i="51"/>
  <c r="B1" i="51"/>
  <c r="K115" i="101"/>
  <c r="R114" i="101"/>
  <c r="K114" i="101"/>
  <c r="Y92" i="101"/>
  <c r="T92" i="101"/>
  <c r="Q92" i="101"/>
  <c r="Y70" i="101"/>
  <c r="T70" i="101"/>
  <c r="Q70" i="101"/>
  <c r="G70" i="101"/>
  <c r="G92" i="101" s="1"/>
  <c r="F70" i="101"/>
  <c r="F92" i="101" s="1"/>
  <c r="S50" i="101"/>
  <c r="T50" i="101" s="1"/>
  <c r="U50" i="101" s="1"/>
  <c r="U49" i="101"/>
  <c r="T49" i="101"/>
  <c r="T48" i="101" s="1"/>
  <c r="S49" i="101"/>
  <c r="Y48" i="101"/>
  <c r="Q48" i="101"/>
  <c r="G48" i="101"/>
  <c r="F48" i="101"/>
  <c r="E48" i="101"/>
  <c r="E70" i="101" s="1"/>
  <c r="E92" i="101" s="1"/>
  <c r="S34" i="101"/>
  <c r="T33" i="101"/>
  <c r="U33" i="101" s="1"/>
  <c r="S33" i="101"/>
  <c r="T34" i="101" s="1"/>
  <c r="U34" i="101" s="1"/>
  <c r="S32" i="101"/>
  <c r="S31" i="101"/>
  <c r="T32" i="101" s="1"/>
  <c r="U32" i="101" s="1"/>
  <c r="U30" i="101"/>
  <c r="T30" i="101"/>
  <c r="S30" i="101"/>
  <c r="S29" i="101"/>
  <c r="T29" i="101" s="1"/>
  <c r="U29" i="101" s="1"/>
  <c r="Y28" i="101"/>
  <c r="T28" i="101"/>
  <c r="U28" i="101" s="1"/>
  <c r="S28" i="101"/>
  <c r="Y27" i="101"/>
  <c r="S27" i="101"/>
  <c r="T27" i="101" s="1"/>
  <c r="AD26" i="101"/>
  <c r="Y26" i="101"/>
  <c r="Z26" i="101" s="1"/>
  <c r="Q26" i="101"/>
  <c r="P26" i="101"/>
  <c r="G26" i="101"/>
  <c r="F26" i="101"/>
  <c r="E26" i="101"/>
  <c r="D26" i="101"/>
  <c r="D48" i="101" s="1"/>
  <c r="D70" i="101" s="1"/>
  <c r="D92" i="101" s="1"/>
  <c r="C26" i="101"/>
  <c r="C48" i="101" s="1"/>
  <c r="C70" i="101" s="1"/>
  <c r="C92" i="101" s="1"/>
  <c r="B26" i="101"/>
  <c r="B48" i="101" s="1"/>
  <c r="B70" i="101" s="1"/>
  <c r="B92" i="101" s="1"/>
  <c r="S12" i="101"/>
  <c r="S11" i="101"/>
  <c r="T12" i="101" s="1"/>
  <c r="U12" i="101" s="1"/>
  <c r="U10" i="101"/>
  <c r="T10" i="101"/>
  <c r="S10" i="101"/>
  <c r="S9" i="101"/>
  <c r="T9" i="101" s="1"/>
  <c r="U9" i="101" s="1"/>
  <c r="S8" i="101"/>
  <c r="T8" i="101" s="1"/>
  <c r="U8" i="101" s="1"/>
  <c r="S7" i="101"/>
  <c r="T7" i="101" s="1"/>
  <c r="U7" i="101" s="1"/>
  <c r="T6" i="101"/>
  <c r="U6" i="101" s="1"/>
  <c r="S6" i="101"/>
  <c r="Y5" i="101"/>
  <c r="U5" i="101"/>
  <c r="T5" i="101"/>
  <c r="S5" i="101"/>
  <c r="AD4" i="101"/>
  <c r="Y4" i="101"/>
  <c r="Z4" i="101" s="1"/>
  <c r="Q4" i="101"/>
  <c r="P4" i="101"/>
  <c r="B1" i="101"/>
  <c r="D67" i="114"/>
  <c r="U27" i="101" l="1"/>
  <c r="T4" i="51"/>
  <c r="U5" i="51"/>
  <c r="U30" i="38"/>
  <c r="T26" i="38"/>
  <c r="U28" i="105"/>
  <c r="T26" i="105"/>
  <c r="T48" i="51"/>
  <c r="T48" i="38"/>
  <c r="T48" i="79"/>
  <c r="U49" i="79"/>
  <c r="U27" i="102"/>
  <c r="T4" i="79"/>
  <c r="U5" i="79"/>
  <c r="U28" i="79"/>
  <c r="T26" i="79"/>
  <c r="T48" i="102"/>
  <c r="T26" i="51"/>
  <c r="U27" i="51"/>
  <c r="T4" i="52"/>
  <c r="U5" i="52"/>
  <c r="T26" i="77"/>
  <c r="U27" i="77"/>
  <c r="U49" i="77"/>
  <c r="T48" i="77"/>
  <c r="U5" i="102"/>
  <c r="U5" i="105"/>
  <c r="Y114" i="79"/>
  <c r="T26" i="106"/>
  <c r="Y114" i="37"/>
  <c r="T4" i="107"/>
  <c r="U5" i="107"/>
  <c r="T48" i="103"/>
  <c r="U49" i="103"/>
  <c r="Y114" i="94"/>
  <c r="T7" i="99"/>
  <c r="U7" i="99" s="1"/>
  <c r="T6" i="99"/>
  <c r="U6" i="99" s="1"/>
  <c r="T13" i="55"/>
  <c r="U13" i="55" s="1"/>
  <c r="T12" i="55"/>
  <c r="U12" i="55" s="1"/>
  <c r="Y114" i="101"/>
  <c r="T70" i="106"/>
  <c r="U27" i="100"/>
  <c r="U5" i="104"/>
  <c r="U49" i="57"/>
  <c r="Z26" i="64"/>
  <c r="Y114" i="64"/>
  <c r="U33" i="64"/>
  <c r="U5" i="59"/>
  <c r="U27" i="59"/>
  <c r="U27" i="70"/>
  <c r="T26" i="70"/>
  <c r="U49" i="51"/>
  <c r="U49" i="38"/>
  <c r="T5" i="77"/>
  <c r="U49" i="102"/>
  <c r="T28" i="52"/>
  <c r="Y114" i="78"/>
  <c r="T33" i="107"/>
  <c r="U33" i="107" s="1"/>
  <c r="U49" i="108"/>
  <c r="T48" i="108"/>
  <c r="U27" i="94"/>
  <c r="U49" i="83"/>
  <c r="T48" i="83"/>
  <c r="T26" i="53"/>
  <c r="U27" i="53"/>
  <c r="U93" i="53"/>
  <c r="T48" i="100"/>
  <c r="U50" i="100"/>
  <c r="T11" i="104"/>
  <c r="U11" i="104" s="1"/>
  <c r="U27" i="95"/>
  <c r="T31" i="96"/>
  <c r="U31" i="96" s="1"/>
  <c r="T30" i="96"/>
  <c r="U30" i="96" s="1"/>
  <c r="T10" i="76"/>
  <c r="U10" i="76" s="1"/>
  <c r="T9" i="76"/>
  <c r="U9" i="76" s="1"/>
  <c r="T11" i="101"/>
  <c r="U11" i="101" s="1"/>
  <c r="T31" i="101"/>
  <c r="U31" i="101" s="1"/>
  <c r="T10" i="38"/>
  <c r="U10" i="38" s="1"/>
  <c r="T7" i="79"/>
  <c r="U7" i="79" s="1"/>
  <c r="T9" i="102"/>
  <c r="U9" i="102" s="1"/>
  <c r="T33" i="102"/>
  <c r="U33" i="102" s="1"/>
  <c r="T49" i="52"/>
  <c r="T7" i="106"/>
  <c r="U7" i="106" s="1"/>
  <c r="T51" i="106"/>
  <c r="U51" i="106" s="1"/>
  <c r="T13" i="37"/>
  <c r="U13" i="37" s="1"/>
  <c r="T14" i="37"/>
  <c r="U14" i="37" s="1"/>
  <c r="U27" i="78"/>
  <c r="T26" i="78"/>
  <c r="Y114" i="108"/>
  <c r="T30" i="84"/>
  <c r="U30" i="84" s="1"/>
  <c r="T13" i="94"/>
  <c r="U13" i="94" s="1"/>
  <c r="Y114" i="83"/>
  <c r="U71" i="53"/>
  <c r="T94" i="53"/>
  <c r="U94" i="53" s="1"/>
  <c r="T26" i="82"/>
  <c r="U27" i="82"/>
  <c r="T48" i="82"/>
  <c r="U49" i="82"/>
  <c r="T6" i="104"/>
  <c r="U6" i="104" s="1"/>
  <c r="T28" i="57"/>
  <c r="U28" i="57" s="1"/>
  <c r="T27" i="57"/>
  <c r="T26" i="66"/>
  <c r="T8" i="105"/>
  <c r="U8" i="105" s="1"/>
  <c r="T30" i="105"/>
  <c r="U30" i="105" s="1"/>
  <c r="T33" i="105"/>
  <c r="U33" i="105" s="1"/>
  <c r="U49" i="107"/>
  <c r="T48" i="107"/>
  <c r="U27" i="108"/>
  <c r="T48" i="94"/>
  <c r="U50" i="94"/>
  <c r="U27" i="83"/>
  <c r="U49" i="53"/>
  <c r="T72" i="53"/>
  <c r="U72" i="53" s="1"/>
  <c r="T4" i="82"/>
  <c r="U5" i="82"/>
  <c r="U5" i="80"/>
  <c r="U5" i="38"/>
  <c r="T5" i="37"/>
  <c r="T6" i="37"/>
  <c r="U6" i="37" s="1"/>
  <c r="Y114" i="107"/>
  <c r="T50" i="53"/>
  <c r="U50" i="53" s="1"/>
  <c r="T11" i="82"/>
  <c r="U11" i="82" s="1"/>
  <c r="U49" i="104"/>
  <c r="T28" i="62"/>
  <c r="U28" i="62" s="1"/>
  <c r="T27" i="62"/>
  <c r="T48" i="106"/>
  <c r="U49" i="106"/>
  <c r="T48" i="37"/>
  <c r="U49" i="37"/>
  <c r="T48" i="78"/>
  <c r="U50" i="78"/>
  <c r="U27" i="107"/>
  <c r="U27" i="84"/>
  <c r="T4" i="83"/>
  <c r="U5" i="83"/>
  <c r="T6" i="82"/>
  <c r="U6" i="82" s="1"/>
  <c r="U49" i="80"/>
  <c r="U27" i="81"/>
  <c r="T9" i="57"/>
  <c r="U9" i="57" s="1"/>
  <c r="T8" i="57"/>
  <c r="U8" i="57" s="1"/>
  <c r="T6" i="106"/>
  <c r="U6" i="106" s="1"/>
  <c r="T5" i="106"/>
  <c r="T7" i="84"/>
  <c r="T9" i="81"/>
  <c r="U9" i="81" s="1"/>
  <c r="T48" i="81"/>
  <c r="U50" i="81"/>
  <c r="T26" i="37"/>
  <c r="T30" i="78"/>
  <c r="U30" i="78" s="1"/>
  <c r="T34" i="107"/>
  <c r="U34" i="107" s="1"/>
  <c r="T34" i="108"/>
  <c r="U34" i="108" s="1"/>
  <c r="T8" i="84"/>
  <c r="U8" i="84" s="1"/>
  <c r="T31" i="84"/>
  <c r="U31" i="84" s="1"/>
  <c r="T13" i="103"/>
  <c r="U13" i="103" s="1"/>
  <c r="T32" i="103"/>
  <c r="U32" i="103" s="1"/>
  <c r="T14" i="94"/>
  <c r="U14" i="94" s="1"/>
  <c r="T30" i="94"/>
  <c r="U30" i="94" s="1"/>
  <c r="T34" i="83"/>
  <c r="U34" i="83" s="1"/>
  <c r="T51" i="53"/>
  <c r="U51" i="53" s="1"/>
  <c r="T73" i="53"/>
  <c r="U73" i="53" s="1"/>
  <c r="T95" i="53"/>
  <c r="U95" i="53" s="1"/>
  <c r="T12" i="82"/>
  <c r="U12" i="82" s="1"/>
  <c r="T32" i="82"/>
  <c r="U32" i="82" s="1"/>
  <c r="T30" i="100"/>
  <c r="U30" i="100" s="1"/>
  <c r="T12" i="80"/>
  <c r="U12" i="80" s="1"/>
  <c r="T36" i="80"/>
  <c r="U36" i="80" s="1"/>
  <c r="T50" i="80"/>
  <c r="U50" i="80" s="1"/>
  <c r="T10" i="81"/>
  <c r="U10" i="81" s="1"/>
  <c r="T30" i="81"/>
  <c r="U30" i="81" s="1"/>
  <c r="T12" i="104"/>
  <c r="U12" i="104" s="1"/>
  <c r="T11" i="95"/>
  <c r="U11" i="95" s="1"/>
  <c r="T10" i="95"/>
  <c r="U10" i="95" s="1"/>
  <c r="Y114" i="95"/>
  <c r="T32" i="75"/>
  <c r="U32" i="75" s="1"/>
  <c r="T31" i="75"/>
  <c r="U31" i="75" s="1"/>
  <c r="U30" i="74"/>
  <c r="T4" i="58"/>
  <c r="U5" i="58"/>
  <c r="Z26" i="88"/>
  <c r="Y114" i="88"/>
  <c r="T36" i="66"/>
  <c r="U36" i="66" s="1"/>
  <c r="T35" i="66"/>
  <c r="U35" i="66" s="1"/>
  <c r="T50" i="66"/>
  <c r="U50" i="66" s="1"/>
  <c r="T49" i="66"/>
  <c r="T10" i="96"/>
  <c r="U10" i="96" s="1"/>
  <c r="T9" i="96"/>
  <c r="U9" i="96" s="1"/>
  <c r="T26" i="96"/>
  <c r="Y114" i="55"/>
  <c r="T7" i="69"/>
  <c r="U7" i="69" s="1"/>
  <c r="T6" i="69"/>
  <c r="T29" i="65"/>
  <c r="U29" i="65" s="1"/>
  <c r="T28" i="65"/>
  <c r="T36" i="97"/>
  <c r="U36" i="97" s="1"/>
  <c r="T35" i="97"/>
  <c r="U35" i="97" s="1"/>
  <c r="T48" i="56"/>
  <c r="U49" i="56"/>
  <c r="U6" i="62"/>
  <c r="T6" i="64"/>
  <c r="U6" i="64" s="1"/>
  <c r="T5" i="64"/>
  <c r="U5" i="75"/>
  <c r="T11" i="75"/>
  <c r="U11" i="75" s="1"/>
  <c r="T10" i="75"/>
  <c r="U10" i="75" s="1"/>
  <c r="U5" i="74"/>
  <c r="U49" i="74"/>
  <c r="T53" i="74"/>
  <c r="U53" i="74" s="1"/>
  <c r="T52" i="74"/>
  <c r="U52" i="74" s="1"/>
  <c r="T75" i="74"/>
  <c r="U75" i="74" s="1"/>
  <c r="T74" i="74"/>
  <c r="U74" i="74" s="1"/>
  <c r="U27" i="58"/>
  <c r="T4" i="61"/>
  <c r="T48" i="67"/>
  <c r="U49" i="67"/>
  <c r="U6" i="90"/>
  <c r="T4" i="90"/>
  <c r="T12" i="63"/>
  <c r="U12" i="63" s="1"/>
  <c r="T11" i="63"/>
  <c r="U11" i="63" s="1"/>
  <c r="T28" i="76"/>
  <c r="U28" i="76" s="1"/>
  <c r="T27" i="76"/>
  <c r="U27" i="71"/>
  <c r="T26" i="71"/>
  <c r="T8" i="87"/>
  <c r="U8" i="87" s="1"/>
  <c r="T9" i="87"/>
  <c r="U9" i="87" s="1"/>
  <c r="T73" i="106"/>
  <c r="U73" i="106" s="1"/>
  <c r="T52" i="53"/>
  <c r="U52" i="53" s="1"/>
  <c r="T74" i="53"/>
  <c r="U74" i="53" s="1"/>
  <c r="T96" i="53"/>
  <c r="U96" i="53" s="1"/>
  <c r="T33" i="82"/>
  <c r="U33" i="82" s="1"/>
  <c r="T27" i="80"/>
  <c r="T31" i="104"/>
  <c r="U31" i="104" s="1"/>
  <c r="Y114" i="104"/>
  <c r="T33" i="57"/>
  <c r="U33" i="57" s="1"/>
  <c r="T32" i="57"/>
  <c r="U32" i="57" s="1"/>
  <c r="T50" i="57"/>
  <c r="U50" i="57" s="1"/>
  <c r="T33" i="62"/>
  <c r="U33" i="62" s="1"/>
  <c r="T32" i="62"/>
  <c r="U32" i="62" s="1"/>
  <c r="T4" i="99"/>
  <c r="T11" i="64"/>
  <c r="U11" i="64" s="1"/>
  <c r="T15" i="64"/>
  <c r="U15" i="64" s="1"/>
  <c r="T30" i="98"/>
  <c r="U30" i="98" s="1"/>
  <c r="T29" i="98"/>
  <c r="U29" i="98" s="1"/>
  <c r="T12" i="66"/>
  <c r="U12" i="66" s="1"/>
  <c r="T11" i="66"/>
  <c r="U11" i="66" s="1"/>
  <c r="U6" i="67"/>
  <c r="U50" i="68"/>
  <c r="T48" i="68"/>
  <c r="Y114" i="68"/>
  <c r="U6" i="65"/>
  <c r="T34" i="76"/>
  <c r="U34" i="76" s="1"/>
  <c r="T33" i="76"/>
  <c r="U33" i="76" s="1"/>
  <c r="U50" i="76"/>
  <c r="T48" i="76"/>
  <c r="U5" i="87"/>
  <c r="T28" i="95"/>
  <c r="U28" i="95" s="1"/>
  <c r="Y114" i="75"/>
  <c r="T4" i="98"/>
  <c r="U27" i="68"/>
  <c r="T33" i="68"/>
  <c r="U33" i="68" s="1"/>
  <c r="T32" i="68"/>
  <c r="U32" i="68" s="1"/>
  <c r="T37" i="65"/>
  <c r="U37" i="65" s="1"/>
  <c r="T36" i="65"/>
  <c r="U36" i="65" s="1"/>
  <c r="U5" i="78"/>
  <c r="U5" i="94"/>
  <c r="U5" i="100"/>
  <c r="T14" i="104"/>
  <c r="U14" i="104" s="1"/>
  <c r="Q4" i="62"/>
  <c r="U8" i="64"/>
  <c r="U12" i="64"/>
  <c r="U16" i="64"/>
  <c r="T4" i="88"/>
  <c r="U5" i="88"/>
  <c r="U6" i="96"/>
  <c r="T36" i="69"/>
  <c r="U36" i="69" s="1"/>
  <c r="T35" i="69"/>
  <c r="U35" i="69" s="1"/>
  <c r="T50" i="69"/>
  <c r="U50" i="69" s="1"/>
  <c r="T49" i="69"/>
  <c r="T30" i="87"/>
  <c r="U30" i="87" s="1"/>
  <c r="T29" i="87"/>
  <c r="U29" i="87" s="1"/>
  <c r="T50" i="104"/>
  <c r="U50" i="104" s="1"/>
  <c r="U5" i="95"/>
  <c r="T30" i="95"/>
  <c r="U30" i="95" s="1"/>
  <c r="T29" i="95"/>
  <c r="U29" i="95" s="1"/>
  <c r="U8" i="62"/>
  <c r="U27" i="99"/>
  <c r="U49" i="99"/>
  <c r="T48" i="99"/>
  <c r="T48" i="64"/>
  <c r="U50" i="64"/>
  <c r="T30" i="58"/>
  <c r="U30" i="58" s="1"/>
  <c r="T29" i="58"/>
  <c r="U29" i="58" s="1"/>
  <c r="U28" i="88"/>
  <c r="T26" i="88"/>
  <c r="Y114" i="96"/>
  <c r="T26" i="61"/>
  <c r="T50" i="61"/>
  <c r="U50" i="61" s="1"/>
  <c r="T49" i="61"/>
  <c r="T10" i="67"/>
  <c r="U10" i="67" s="1"/>
  <c r="T9" i="67"/>
  <c r="U9" i="67" s="1"/>
  <c r="T52" i="55"/>
  <c r="U52" i="55" s="1"/>
  <c r="T51" i="55"/>
  <c r="U51" i="55" s="1"/>
  <c r="T36" i="90"/>
  <c r="U36" i="90" s="1"/>
  <c r="T35" i="90"/>
  <c r="U35" i="90" s="1"/>
  <c r="T50" i="90"/>
  <c r="U50" i="90" s="1"/>
  <c r="T49" i="90"/>
  <c r="T10" i="65"/>
  <c r="U10" i="65" s="1"/>
  <c r="T9" i="65"/>
  <c r="U9" i="65" s="1"/>
  <c r="U7" i="97"/>
  <c r="T4" i="97"/>
  <c r="T50" i="39"/>
  <c r="U50" i="39" s="1"/>
  <c r="T49" i="39"/>
  <c r="U49" i="39" s="1"/>
  <c r="T26" i="104"/>
  <c r="T13" i="95"/>
  <c r="U13" i="95" s="1"/>
  <c r="T4" i="62"/>
  <c r="T32" i="99"/>
  <c r="U32" i="99" s="1"/>
  <c r="T31" i="99"/>
  <c r="U31" i="99" s="1"/>
  <c r="U27" i="75"/>
  <c r="U49" i="75"/>
  <c r="T48" i="75"/>
  <c r="T14" i="74"/>
  <c r="U14" i="74" s="1"/>
  <c r="T13" i="74"/>
  <c r="U13" i="74" s="1"/>
  <c r="U71" i="74"/>
  <c r="Y114" i="74"/>
  <c r="T48" i="88"/>
  <c r="T38" i="98"/>
  <c r="U38" i="98" s="1"/>
  <c r="T37" i="98"/>
  <c r="U37" i="98" s="1"/>
  <c r="T31" i="67"/>
  <c r="U31" i="67" s="1"/>
  <c r="T30" i="67"/>
  <c r="U30" i="67" s="1"/>
  <c r="U28" i="55"/>
  <c r="T26" i="55"/>
  <c r="Y114" i="90"/>
  <c r="Y114" i="63"/>
  <c r="Z26" i="87"/>
  <c r="Y114" i="87"/>
  <c r="T38" i="39"/>
  <c r="U38" i="39" s="1"/>
  <c r="T37" i="39"/>
  <c r="U37" i="39" s="1"/>
  <c r="U27" i="72"/>
  <c r="T14" i="91"/>
  <c r="U14" i="91" s="1"/>
  <c r="T13" i="91"/>
  <c r="U13" i="91" s="1"/>
  <c r="U27" i="91"/>
  <c r="T15" i="59"/>
  <c r="U15" i="59" s="1"/>
  <c r="T14" i="59"/>
  <c r="U14" i="59" s="1"/>
  <c r="T48" i="95"/>
  <c r="T14" i="71"/>
  <c r="U14" i="71" s="1"/>
  <c r="T4" i="85"/>
  <c r="T48" i="87"/>
  <c r="T11" i="72"/>
  <c r="U11" i="72" s="1"/>
  <c r="T35" i="72"/>
  <c r="U35" i="72" s="1"/>
  <c r="T28" i="86"/>
  <c r="U28" i="86" s="1"/>
  <c r="T4" i="91"/>
  <c r="U5" i="91"/>
  <c r="T33" i="91"/>
  <c r="U33" i="91" s="1"/>
  <c r="T32" i="91"/>
  <c r="U32" i="91" s="1"/>
  <c r="T50" i="74"/>
  <c r="U50" i="74" s="1"/>
  <c r="T16" i="76"/>
  <c r="U16" i="76" s="1"/>
  <c r="T7" i="71"/>
  <c r="T31" i="71"/>
  <c r="U31" i="71" s="1"/>
  <c r="T13" i="87"/>
  <c r="U13" i="87" s="1"/>
  <c r="U49" i="92"/>
  <c r="T48" i="92"/>
  <c r="T9" i="86"/>
  <c r="U9" i="86" s="1"/>
  <c r="T17" i="86"/>
  <c r="U17" i="86" s="1"/>
  <c r="T32" i="86"/>
  <c r="U32" i="86" s="1"/>
  <c r="T9" i="56"/>
  <c r="U9" i="56" s="1"/>
  <c r="T10" i="39"/>
  <c r="U10" i="39" s="1"/>
  <c r="T9" i="39"/>
  <c r="U9" i="39" s="1"/>
  <c r="T30" i="39"/>
  <c r="U30" i="39" s="1"/>
  <c r="T29" i="39"/>
  <c r="U29" i="39" s="1"/>
  <c r="Y114" i="39"/>
  <c r="T7" i="59"/>
  <c r="U7" i="59" s="1"/>
  <c r="T6" i="59"/>
  <c r="U6" i="59" s="1"/>
  <c r="T28" i="59"/>
  <c r="U28" i="59" s="1"/>
  <c r="U27" i="60"/>
  <c r="T6" i="57"/>
  <c r="U6" i="57" s="1"/>
  <c r="T14" i="57"/>
  <c r="U14" i="57" s="1"/>
  <c r="T30" i="57"/>
  <c r="U30" i="57" s="1"/>
  <c r="T30" i="62"/>
  <c r="U30" i="62" s="1"/>
  <c r="T29" i="99"/>
  <c r="U29" i="99" s="1"/>
  <c r="T34" i="64"/>
  <c r="U34" i="64" s="1"/>
  <c r="T8" i="75"/>
  <c r="U8" i="75" s="1"/>
  <c r="T29" i="75"/>
  <c r="U29" i="75" s="1"/>
  <c r="T11" i="74"/>
  <c r="U11" i="74" s="1"/>
  <c r="T32" i="74"/>
  <c r="U32" i="74" s="1"/>
  <c r="T72" i="74"/>
  <c r="U72" i="74" s="1"/>
  <c r="U5" i="98"/>
  <c r="U27" i="98"/>
  <c r="T35" i="98"/>
  <c r="U35" i="98" s="1"/>
  <c r="T49" i="98"/>
  <c r="T9" i="66"/>
  <c r="U9" i="66" s="1"/>
  <c r="T33" i="66"/>
  <c r="U33" i="66" s="1"/>
  <c r="T7" i="96"/>
  <c r="U7" i="96" s="1"/>
  <c r="T49" i="96"/>
  <c r="T7" i="67"/>
  <c r="U7" i="67" s="1"/>
  <c r="U5" i="55"/>
  <c r="T10" i="55"/>
  <c r="U10" i="55" s="1"/>
  <c r="T49" i="55"/>
  <c r="T6" i="68"/>
  <c r="U6" i="68" s="1"/>
  <c r="T30" i="68"/>
  <c r="U30" i="68" s="1"/>
  <c r="T33" i="69"/>
  <c r="U33" i="69" s="1"/>
  <c r="T33" i="90"/>
  <c r="U33" i="90" s="1"/>
  <c r="T7" i="65"/>
  <c r="U7" i="65" s="1"/>
  <c r="T15" i="65"/>
  <c r="U15" i="65" s="1"/>
  <c r="T34" i="65"/>
  <c r="U34" i="65" s="1"/>
  <c r="T49" i="65"/>
  <c r="T9" i="63"/>
  <c r="U9" i="63" s="1"/>
  <c r="T33" i="63"/>
  <c r="U33" i="63" s="1"/>
  <c r="T36" i="63"/>
  <c r="U36" i="63" s="1"/>
  <c r="T29" i="97"/>
  <c r="T27" i="87"/>
  <c r="T30" i="92"/>
  <c r="T5" i="72"/>
  <c r="T9" i="89"/>
  <c r="U9" i="89" s="1"/>
  <c r="T17" i="89"/>
  <c r="U17" i="89" s="1"/>
  <c r="T27" i="56"/>
  <c r="T14" i="39"/>
  <c r="U14" i="39" s="1"/>
  <c r="T34" i="39"/>
  <c r="U34" i="39" s="1"/>
  <c r="T4" i="92"/>
  <c r="U5" i="92"/>
  <c r="T30" i="59"/>
  <c r="U30" i="59" s="1"/>
  <c r="T29" i="59"/>
  <c r="U29" i="59" s="1"/>
  <c r="U5" i="62"/>
  <c r="T13" i="72"/>
  <c r="U13" i="72" s="1"/>
  <c r="T29" i="72"/>
  <c r="U29" i="72" s="1"/>
  <c r="T6" i="89"/>
  <c r="T26" i="39"/>
  <c r="U27" i="39"/>
  <c r="T48" i="91"/>
  <c r="U49" i="91"/>
  <c r="T34" i="97"/>
  <c r="U34" i="97" s="1"/>
  <c r="T8" i="76"/>
  <c r="U8" i="76" s="1"/>
  <c r="T32" i="76"/>
  <c r="U32" i="76" s="1"/>
  <c r="T37" i="71"/>
  <c r="U37" i="71" s="1"/>
  <c r="T26" i="85"/>
  <c r="U27" i="85"/>
  <c r="T4" i="86"/>
  <c r="T7" i="86"/>
  <c r="U7" i="86" s="1"/>
  <c r="T15" i="86"/>
  <c r="U15" i="86" s="1"/>
  <c r="T30" i="86"/>
  <c r="U30" i="86" s="1"/>
  <c r="T26" i="89"/>
  <c r="U27" i="89"/>
  <c r="T7" i="56"/>
  <c r="U7" i="56" s="1"/>
  <c r="Y114" i="56"/>
  <c r="Y114" i="91"/>
  <c r="Y114" i="60"/>
  <c r="U27" i="246"/>
  <c r="Y4" i="247"/>
  <c r="Z4" i="247" s="1"/>
  <c r="AD4" i="247"/>
  <c r="T9" i="247"/>
  <c r="U9" i="247" s="1"/>
  <c r="T50" i="247"/>
  <c r="U50" i="247" s="1"/>
  <c r="U27" i="249"/>
  <c r="T29" i="5"/>
  <c r="U29" i="5" s="1"/>
  <c r="T9" i="9"/>
  <c r="U9" i="9" s="1"/>
  <c r="T8" i="9"/>
  <c r="U8" i="9" s="1"/>
  <c r="Y114" i="13"/>
  <c r="U6" i="126"/>
  <c r="T4" i="126"/>
  <c r="T4" i="164"/>
  <c r="U5" i="164"/>
  <c r="U7" i="221"/>
  <c r="T4" i="221"/>
  <c r="U27" i="116"/>
  <c r="U5" i="60"/>
  <c r="T29" i="60"/>
  <c r="U29" i="60" s="1"/>
  <c r="T32" i="60"/>
  <c r="U32" i="60" s="1"/>
  <c r="T28" i="54"/>
  <c r="U28" i="54" s="1"/>
  <c r="T15" i="73"/>
  <c r="U15" i="73" s="1"/>
  <c r="Y114" i="73"/>
  <c r="T7" i="93"/>
  <c r="T29" i="14"/>
  <c r="U29" i="14" s="1"/>
  <c r="T36" i="15"/>
  <c r="U36" i="15" s="1"/>
  <c r="U49" i="15"/>
  <c r="T6" i="246"/>
  <c r="U6" i="246" s="1"/>
  <c r="T32" i="246"/>
  <c r="U32" i="246" s="1"/>
  <c r="T48" i="249"/>
  <c r="U49" i="249"/>
  <c r="T29" i="9"/>
  <c r="U29" i="9" s="1"/>
  <c r="T4" i="11"/>
  <c r="Y114" i="127"/>
  <c r="T4" i="157"/>
  <c r="U5" i="157"/>
  <c r="T48" i="158"/>
  <c r="U49" i="158"/>
  <c r="T9" i="60"/>
  <c r="U9" i="60" s="1"/>
  <c r="T50" i="60"/>
  <c r="U5" i="73"/>
  <c r="T16" i="73"/>
  <c r="U16" i="73" s="1"/>
  <c r="T48" i="73"/>
  <c r="U49" i="73"/>
  <c r="T13" i="15"/>
  <c r="U13" i="15" s="1"/>
  <c r="T50" i="15"/>
  <c r="U50" i="15" s="1"/>
  <c r="T28" i="247"/>
  <c r="U28" i="247" s="1"/>
  <c r="T32" i="249"/>
  <c r="U32" i="249" s="1"/>
  <c r="T28" i="244"/>
  <c r="T5" i="10"/>
  <c r="T48" i="11"/>
  <c r="Y114" i="124"/>
  <c r="T12" i="142"/>
  <c r="U12" i="142" s="1"/>
  <c r="T11" i="142"/>
  <c r="U11" i="142" s="1"/>
  <c r="T48" i="59"/>
  <c r="T32" i="54"/>
  <c r="U32" i="54" s="1"/>
  <c r="T9" i="73"/>
  <c r="U9" i="73" s="1"/>
  <c r="Q4" i="93"/>
  <c r="U5" i="247"/>
  <c r="T48" i="248"/>
  <c r="U50" i="248"/>
  <c r="T6" i="10"/>
  <c r="U6" i="10" s="1"/>
  <c r="T10" i="10"/>
  <c r="U10" i="10" s="1"/>
  <c r="T50" i="10"/>
  <c r="U50" i="10" s="1"/>
  <c r="T49" i="10"/>
  <c r="U5" i="13"/>
  <c r="T29" i="24"/>
  <c r="U29" i="24" s="1"/>
  <c r="T4" i="125"/>
  <c r="U5" i="125"/>
  <c r="T4" i="128"/>
  <c r="U6" i="128"/>
  <c r="Z4" i="156"/>
  <c r="Y114" i="156"/>
  <c r="U50" i="162"/>
  <c r="T48" i="162"/>
  <c r="U9" i="171"/>
  <c r="T4" i="171"/>
  <c r="T6" i="60"/>
  <c r="U6" i="60" s="1"/>
  <c r="T48" i="54"/>
  <c r="Y114" i="93"/>
  <c r="T26" i="248"/>
  <c r="T7" i="10"/>
  <c r="U7" i="10" s="1"/>
  <c r="T8" i="10"/>
  <c r="U8" i="10" s="1"/>
  <c r="T27" i="10"/>
  <c r="T28" i="10"/>
  <c r="U28" i="10" s="1"/>
  <c r="T36" i="5"/>
  <c r="U36" i="5" s="1"/>
  <c r="U27" i="12"/>
  <c r="Y114" i="12"/>
  <c r="T29" i="13"/>
  <c r="U29" i="13" s="1"/>
  <c r="T4" i="129"/>
  <c r="U6" i="129"/>
  <c r="T48" i="130"/>
  <c r="U49" i="130"/>
  <c r="U9" i="149"/>
  <c r="T4" i="149"/>
  <c r="T10" i="54"/>
  <c r="U10" i="54" s="1"/>
  <c r="U49" i="54"/>
  <c r="T49" i="70"/>
  <c r="T32" i="73"/>
  <c r="U32" i="73" s="1"/>
  <c r="T26" i="93"/>
  <c r="U27" i="93"/>
  <c r="T31" i="93"/>
  <c r="U31" i="93" s="1"/>
  <c r="T48" i="93"/>
  <c r="T4" i="14"/>
  <c r="U5" i="14"/>
  <c r="T15" i="15"/>
  <c r="U15" i="15" s="1"/>
  <c r="T13" i="246"/>
  <c r="U13" i="246" s="1"/>
  <c r="U50" i="246"/>
  <c r="T48" i="246"/>
  <c r="T11" i="10"/>
  <c r="U11" i="10" s="1"/>
  <c r="T4" i="9"/>
  <c r="U5" i="9"/>
  <c r="U27" i="9"/>
  <c r="T26" i="9"/>
  <c r="T26" i="11"/>
  <c r="U27" i="11"/>
  <c r="U49" i="13"/>
  <c r="T48" i="13"/>
  <c r="Y114" i="59"/>
  <c r="Y28" i="247"/>
  <c r="AD26" i="247"/>
  <c r="Y26" i="247"/>
  <c r="AD48" i="247"/>
  <c r="Y48" i="247"/>
  <c r="Y114" i="247" s="1"/>
  <c r="T11" i="249"/>
  <c r="U11" i="249" s="1"/>
  <c r="T29" i="249"/>
  <c r="U29" i="249" s="1"/>
  <c r="Y114" i="249"/>
  <c r="T8" i="244"/>
  <c r="U8" i="244" s="1"/>
  <c r="T9" i="10"/>
  <c r="U9" i="10" s="1"/>
  <c r="U27" i="5"/>
  <c r="Y114" i="11"/>
  <c r="T13" i="12"/>
  <c r="U13" i="12" s="1"/>
  <c r="T29" i="12"/>
  <c r="U29" i="12" s="1"/>
  <c r="U49" i="12"/>
  <c r="T8" i="13"/>
  <c r="U8" i="13" s="1"/>
  <c r="T9" i="24"/>
  <c r="U9" i="24" s="1"/>
  <c r="T26" i="24"/>
  <c r="U27" i="24"/>
  <c r="U27" i="54"/>
  <c r="U28" i="14"/>
  <c r="T26" i="14"/>
  <c r="T26" i="15"/>
  <c r="T4" i="246"/>
  <c r="U27" i="247"/>
  <c r="T48" i="247"/>
  <c r="U49" i="247"/>
  <c r="T9" i="248"/>
  <c r="U9" i="248" s="1"/>
  <c r="T10" i="248"/>
  <c r="U10" i="248" s="1"/>
  <c r="T12" i="249"/>
  <c r="U12" i="249" s="1"/>
  <c r="T13" i="249"/>
  <c r="U13" i="249" s="1"/>
  <c r="T9" i="244"/>
  <c r="U9" i="244" s="1"/>
  <c r="T10" i="244"/>
  <c r="U10" i="244" s="1"/>
  <c r="Y114" i="244"/>
  <c r="T26" i="13"/>
  <c r="U27" i="13"/>
  <c r="T48" i="24"/>
  <c r="U50" i="24"/>
  <c r="T48" i="129"/>
  <c r="U51" i="129"/>
  <c r="T48" i="5"/>
  <c r="AD4" i="13"/>
  <c r="T4" i="130"/>
  <c r="T48" i="140"/>
  <c r="T48" i="144"/>
  <c r="U49" i="144"/>
  <c r="Y114" i="154"/>
  <c r="T4" i="165"/>
  <c r="U5" i="165"/>
  <c r="T49" i="14"/>
  <c r="T14" i="246"/>
  <c r="U14" i="246" s="1"/>
  <c r="T10" i="247"/>
  <c r="U10" i="247" s="1"/>
  <c r="T31" i="247"/>
  <c r="U31" i="247" s="1"/>
  <c r="T4" i="127"/>
  <c r="T26" i="136"/>
  <c r="U27" i="136"/>
  <c r="T48" i="137"/>
  <c r="T50" i="153"/>
  <c r="U50" i="153" s="1"/>
  <c r="T49" i="153"/>
  <c r="Y114" i="157"/>
  <c r="T26" i="159"/>
  <c r="U27" i="159"/>
  <c r="T4" i="162"/>
  <c r="Y114" i="162"/>
  <c r="T4" i="167"/>
  <c r="U5" i="167"/>
  <c r="U49" i="169"/>
  <c r="Y114" i="133"/>
  <c r="T4" i="137"/>
  <c r="U5" i="137"/>
  <c r="T26" i="137"/>
  <c r="T4" i="140"/>
  <c r="U5" i="140"/>
  <c r="U5" i="143"/>
  <c r="T4" i="143"/>
  <c r="U7" i="154"/>
  <c r="T4" i="154"/>
  <c r="T4" i="163"/>
  <c r="U5" i="163"/>
  <c r="T14" i="174"/>
  <c r="U18" i="174"/>
  <c r="Y5" i="12"/>
  <c r="Y114" i="129"/>
  <c r="Z48" i="129"/>
  <c r="T4" i="132"/>
  <c r="U5" i="132"/>
  <c r="T4" i="135"/>
  <c r="T26" i="139"/>
  <c r="U30" i="139"/>
  <c r="U6" i="144"/>
  <c r="U27" i="144"/>
  <c r="T4" i="148"/>
  <c r="U49" i="156"/>
  <c r="T4" i="160"/>
  <c r="U9" i="160"/>
  <c r="T15" i="163"/>
  <c r="U15" i="163" s="1"/>
  <c r="T14" i="163"/>
  <c r="U14" i="163" s="1"/>
  <c r="U5" i="184"/>
  <c r="T4" i="184"/>
  <c r="T4" i="190"/>
  <c r="U5" i="190"/>
  <c r="Y4" i="10"/>
  <c r="Z4" i="10" s="1"/>
  <c r="T26" i="129"/>
  <c r="Q4" i="133"/>
  <c r="U8" i="133"/>
  <c r="T4" i="134"/>
  <c r="U5" i="134"/>
  <c r="T4" i="136"/>
  <c r="Y114" i="137"/>
  <c r="T50" i="156"/>
  <c r="U50" i="156" s="1"/>
  <c r="T7" i="163"/>
  <c r="U7" i="163" s="1"/>
  <c r="T6" i="163"/>
  <c r="T4" i="168"/>
  <c r="Y114" i="134"/>
  <c r="Y114" i="140"/>
  <c r="T9" i="144"/>
  <c r="U9" i="144" s="1"/>
  <c r="T8" i="144"/>
  <c r="U8" i="144" s="1"/>
  <c r="T4" i="146"/>
  <c r="T50" i="155"/>
  <c r="U50" i="155" s="1"/>
  <c r="T49" i="155"/>
  <c r="T48" i="159"/>
  <c r="U49" i="166"/>
  <c r="T48" i="166"/>
  <c r="T4" i="170"/>
  <c r="U5" i="170"/>
  <c r="U49" i="173"/>
  <c r="T48" i="131"/>
  <c r="U49" i="131"/>
  <c r="T4" i="133"/>
  <c r="U9" i="133"/>
  <c r="Y114" i="135"/>
  <c r="T6" i="142"/>
  <c r="U6" i="142" s="1"/>
  <c r="T5" i="142"/>
  <c r="T4" i="155"/>
  <c r="U8" i="155"/>
  <c r="U7" i="156"/>
  <c r="T4" i="156"/>
  <c r="Y114" i="164"/>
  <c r="T50" i="166"/>
  <c r="U50" i="166" s="1"/>
  <c r="U18" i="179"/>
  <c r="T17" i="179"/>
  <c r="T4" i="158"/>
  <c r="T4" i="166"/>
  <c r="T26" i="167"/>
  <c r="Q4" i="168"/>
  <c r="T48" i="172"/>
  <c r="Y56" i="174"/>
  <c r="Z24" i="174"/>
  <c r="T4" i="182"/>
  <c r="T48" i="134"/>
  <c r="T48" i="135"/>
  <c r="T28" i="144"/>
  <c r="U28" i="144" s="1"/>
  <c r="T48" i="148"/>
  <c r="T48" i="152"/>
  <c r="T26" i="157"/>
  <c r="Y114" i="163"/>
  <c r="U49" i="170"/>
  <c r="T48" i="170"/>
  <c r="U5" i="173"/>
  <c r="T4" i="173"/>
  <c r="T4" i="174"/>
  <c r="U6" i="174"/>
  <c r="T24" i="174"/>
  <c r="T4" i="179"/>
  <c r="U6" i="179"/>
  <c r="M10" i="179"/>
  <c r="N10" i="179" s="1"/>
  <c r="M8" i="179"/>
  <c r="N8" i="179" s="1"/>
  <c r="T4" i="188"/>
  <c r="U5" i="188"/>
  <c r="T4" i="183"/>
  <c r="U30" i="203"/>
  <c r="T27" i="203"/>
  <c r="T26" i="168"/>
  <c r="T50" i="169"/>
  <c r="U50" i="169" s="1"/>
  <c r="Z26" i="171"/>
  <c r="Y114" i="171"/>
  <c r="T50" i="173"/>
  <c r="U50" i="173" s="1"/>
  <c r="T4" i="178"/>
  <c r="T4" i="181"/>
  <c r="U8" i="181"/>
  <c r="Y115" i="182"/>
  <c r="Y115" i="183"/>
  <c r="T48" i="141"/>
  <c r="U49" i="141"/>
  <c r="T4" i="193"/>
  <c r="U6" i="172"/>
  <c r="T4" i="172"/>
  <c r="T4" i="176"/>
  <c r="U8" i="176"/>
  <c r="T4" i="180"/>
  <c r="U8" i="180"/>
  <c r="U5" i="141"/>
  <c r="Y114" i="166"/>
  <c r="T34" i="174"/>
  <c r="M9" i="179"/>
  <c r="N9" i="179" s="1"/>
  <c r="T39" i="179"/>
  <c r="U29" i="191"/>
  <c r="T27" i="191"/>
  <c r="U5" i="169"/>
  <c r="T4" i="169"/>
  <c r="Y114" i="170"/>
  <c r="Y115" i="180"/>
  <c r="T8" i="141"/>
  <c r="U8" i="141" s="1"/>
  <c r="T7" i="141"/>
  <c r="U7" i="141" s="1"/>
  <c r="T121" i="141"/>
  <c r="U120" i="141"/>
  <c r="T4" i="198"/>
  <c r="U5" i="198"/>
  <c r="T4" i="192"/>
  <c r="T27" i="209"/>
  <c r="U28" i="209"/>
  <c r="T4" i="191"/>
  <c r="Y115" i="192"/>
  <c r="T4" i="195"/>
  <c r="U9" i="200"/>
  <c r="T4" i="200"/>
  <c r="Y115" i="187"/>
  <c r="Y115" i="189"/>
  <c r="Y115" i="200"/>
  <c r="T27" i="186"/>
  <c r="T4" i="187"/>
  <c r="T4" i="199"/>
  <c r="U5" i="199"/>
  <c r="Y115" i="199"/>
  <c r="T27" i="208"/>
  <c r="U28" i="208"/>
  <c r="T27" i="185"/>
  <c r="U28" i="185"/>
  <c r="T4" i="189"/>
  <c r="U6" i="189"/>
  <c r="T4" i="194"/>
  <c r="T4" i="197"/>
  <c r="Y115" i="208"/>
  <c r="U31" i="235"/>
  <c r="T27" i="235"/>
  <c r="T71" i="208"/>
  <c r="Z27" i="215"/>
  <c r="Y115" i="215"/>
  <c r="T4" i="235"/>
  <c r="U11" i="235"/>
  <c r="Y115" i="209"/>
  <c r="Y115" i="202"/>
  <c r="T4" i="210"/>
  <c r="U5" i="210"/>
  <c r="T4" i="213"/>
  <c r="U6" i="213"/>
  <c r="T4" i="201"/>
  <c r="Y115" i="203"/>
  <c r="U30" i="204"/>
  <c r="T27" i="204"/>
  <c r="U7" i="219"/>
  <c r="T4" i="219"/>
  <c r="T27" i="215"/>
  <c r="Y114" i="245"/>
  <c r="T9" i="117"/>
  <c r="U9" i="117" s="1"/>
  <c r="T8" i="117"/>
  <c r="Y115" i="216"/>
  <c r="U6" i="49"/>
  <c r="T4" i="217"/>
  <c r="T4" i="238"/>
  <c r="U28" i="119"/>
  <c r="U5" i="217"/>
  <c r="Y115" i="218"/>
  <c r="Y115" i="220"/>
  <c r="T4" i="231"/>
  <c r="U43" i="231"/>
  <c r="U7" i="237"/>
  <c r="T4" i="237"/>
  <c r="U28" i="245"/>
  <c r="U73" i="208"/>
  <c r="T71" i="211"/>
  <c r="Y115" i="221"/>
  <c r="Y115" i="224"/>
  <c r="U28" i="229"/>
  <c r="T27" i="229"/>
  <c r="Z4" i="151"/>
  <c r="Y114" i="151"/>
  <c r="Y115" i="211"/>
  <c r="Y105" i="231"/>
  <c r="Z39" i="231"/>
  <c r="Z4" i="233"/>
  <c r="Y115" i="234"/>
  <c r="T4" i="215"/>
  <c r="Z4" i="225"/>
  <c r="U5" i="233"/>
  <c r="T4" i="233"/>
  <c r="Y115" i="241"/>
  <c r="T15" i="117"/>
  <c r="U15" i="117" s="1"/>
  <c r="T32" i="118"/>
  <c r="U32" i="118" s="1"/>
  <c r="T31" i="118"/>
  <c r="U31" i="118" s="1"/>
  <c r="U27" i="120"/>
  <c r="T9" i="122"/>
  <c r="U9" i="122" s="1"/>
  <c r="T8" i="122"/>
  <c r="U8" i="122" s="1"/>
  <c r="T4" i="225"/>
  <c r="T4" i="226"/>
  <c r="T4" i="227"/>
  <c r="U6" i="238"/>
  <c r="U5" i="240"/>
  <c r="T4" i="240"/>
  <c r="T4" i="242"/>
  <c r="T28" i="116"/>
  <c r="U28" i="116" s="1"/>
  <c r="T29" i="245"/>
  <c r="U29" i="245" s="1"/>
  <c r="T30" i="245"/>
  <c r="U30" i="245" s="1"/>
  <c r="T17" i="117"/>
  <c r="U17" i="117" s="1"/>
  <c r="T16" i="117"/>
  <c r="U16" i="117" s="1"/>
  <c r="T6" i="120"/>
  <c r="U6" i="120" s="1"/>
  <c r="T5" i="120"/>
  <c r="T4" i="224"/>
  <c r="U5" i="225"/>
  <c r="U5" i="227"/>
  <c r="Y115" i="228"/>
  <c r="T4" i="229"/>
  <c r="T4" i="230"/>
  <c r="U5" i="234"/>
  <c r="U6" i="242"/>
  <c r="T26" i="117"/>
  <c r="U49" i="121"/>
  <c r="T29" i="49"/>
  <c r="U29" i="49" s="1"/>
  <c r="T28" i="49"/>
  <c r="U28" i="49" s="1"/>
  <c r="U5" i="224"/>
  <c r="T4" i="228"/>
  <c r="U5" i="229"/>
  <c r="T17" i="231"/>
  <c r="Y115" i="235"/>
  <c r="T4" i="116"/>
  <c r="T11" i="245"/>
  <c r="U11" i="245" s="1"/>
  <c r="U27" i="117"/>
  <c r="T11" i="49"/>
  <c r="U11" i="49" s="1"/>
  <c r="Y115" i="229"/>
  <c r="Z4" i="116"/>
  <c r="Y114" i="116"/>
  <c r="T13" i="245"/>
  <c r="U13" i="245" s="1"/>
  <c r="T12" i="245"/>
  <c r="U12" i="245" s="1"/>
  <c r="U49" i="117"/>
  <c r="T8" i="118"/>
  <c r="U8" i="118" s="1"/>
  <c r="T9" i="118"/>
  <c r="U9" i="118" s="1"/>
  <c r="T31" i="48"/>
  <c r="U31" i="48" s="1"/>
  <c r="T30" i="48"/>
  <c r="Y115" i="227"/>
  <c r="T4" i="232"/>
  <c r="T27" i="237"/>
  <c r="T50" i="116"/>
  <c r="U50" i="116" s="1"/>
  <c r="T49" i="116"/>
  <c r="Y114" i="120"/>
  <c r="U27" i="122"/>
  <c r="T12" i="123"/>
  <c r="U12" i="123" s="1"/>
  <c r="T11" i="123"/>
  <c r="U11" i="123" s="1"/>
  <c r="T6" i="41"/>
  <c r="U6" i="41" s="1"/>
  <c r="T5" i="41"/>
  <c r="T27" i="242"/>
  <c r="Y114" i="115"/>
  <c r="T8" i="245"/>
  <c r="U8" i="245" s="1"/>
  <c r="T12" i="117"/>
  <c r="U12" i="117" s="1"/>
  <c r="T50" i="117"/>
  <c r="U50" i="117" s="1"/>
  <c r="T31" i="120"/>
  <c r="U31" i="120" s="1"/>
  <c r="T28" i="121"/>
  <c r="U28" i="121" s="1"/>
  <c r="T27" i="121"/>
  <c r="T50" i="122"/>
  <c r="U50" i="122" s="1"/>
  <c r="T49" i="122"/>
  <c r="T48" i="123"/>
  <c r="T8" i="48"/>
  <c r="U8" i="48" s="1"/>
  <c r="T7" i="48"/>
  <c r="U7" i="48" s="1"/>
  <c r="T7" i="49"/>
  <c r="U7" i="49" s="1"/>
  <c r="U49" i="118"/>
  <c r="T26" i="40"/>
  <c r="U27" i="40"/>
  <c r="T9" i="245"/>
  <c r="U9" i="245" s="1"/>
  <c r="T13" i="117"/>
  <c r="U13" i="117" s="1"/>
  <c r="U5" i="118"/>
  <c r="T7" i="119"/>
  <c r="U7" i="119" s="1"/>
  <c r="T6" i="119"/>
  <c r="U6" i="119" s="1"/>
  <c r="T7" i="40"/>
  <c r="U7" i="40" s="1"/>
  <c r="T6" i="40"/>
  <c r="T4" i="241"/>
  <c r="T30" i="116"/>
  <c r="U30" i="116" s="1"/>
  <c r="T4" i="245"/>
  <c r="U5" i="245"/>
  <c r="T29" i="119"/>
  <c r="U29" i="119" s="1"/>
  <c r="T9" i="120"/>
  <c r="U9" i="120" s="1"/>
  <c r="T54" i="41"/>
  <c r="U54" i="41" s="1"/>
  <c r="T53" i="41"/>
  <c r="U53" i="41" s="1"/>
  <c r="T11" i="48"/>
  <c r="U11" i="48" s="1"/>
  <c r="Y114" i="49"/>
  <c r="T33" i="121"/>
  <c r="U33" i="121" s="1"/>
  <c r="U5" i="122"/>
  <c r="T29" i="122"/>
  <c r="U29" i="122" s="1"/>
  <c r="T28" i="122"/>
  <c r="U28" i="122" s="1"/>
  <c r="Y115" i="239"/>
  <c r="T17" i="123"/>
  <c r="U17" i="123" s="1"/>
  <c r="T30" i="123"/>
  <c r="U30" i="123" s="1"/>
  <c r="T29" i="123"/>
  <c r="U29" i="123" s="1"/>
  <c r="T11" i="41"/>
  <c r="U11" i="41" s="1"/>
  <c r="T26" i="41"/>
  <c r="T29" i="118"/>
  <c r="T6" i="122"/>
  <c r="U6" i="122" s="1"/>
  <c r="T9" i="123"/>
  <c r="U9" i="123" s="1"/>
  <c r="U28" i="41"/>
  <c r="T32" i="41"/>
  <c r="U32" i="41" s="1"/>
  <c r="T18" i="49"/>
  <c r="U18" i="49" s="1"/>
  <c r="T17" i="49"/>
  <c r="U17" i="49" s="1"/>
  <c r="T30" i="49"/>
  <c r="U30" i="49" s="1"/>
  <c r="T48" i="49"/>
  <c r="Y26" i="118"/>
  <c r="Y92" i="118"/>
  <c r="T12" i="119"/>
  <c r="U12" i="119" s="1"/>
  <c r="T10" i="121"/>
  <c r="U10" i="121" s="1"/>
  <c r="T9" i="121"/>
  <c r="Y114" i="122"/>
  <c r="T48" i="41"/>
  <c r="T10" i="49"/>
  <c r="U10" i="49" s="1"/>
  <c r="T9" i="49"/>
  <c r="U9" i="49" s="1"/>
  <c r="T48" i="40"/>
  <c r="T6" i="118"/>
  <c r="U6" i="118" s="1"/>
  <c r="T32" i="119"/>
  <c r="U32" i="119" s="1"/>
  <c r="T31" i="119"/>
  <c r="U31" i="119" s="1"/>
  <c r="T12" i="120"/>
  <c r="U12" i="120" s="1"/>
  <c r="T11" i="120"/>
  <c r="U11" i="120" s="1"/>
  <c r="T30" i="122"/>
  <c r="U30" i="122" s="1"/>
  <c r="T4" i="239"/>
  <c r="T7" i="123"/>
  <c r="U7" i="123" s="1"/>
  <c r="T6" i="123"/>
  <c r="T28" i="123"/>
  <c r="U28" i="123" s="1"/>
  <c r="T27" i="123"/>
  <c r="U5" i="48"/>
  <c r="T50" i="48"/>
  <c r="U50" i="48" s="1"/>
  <c r="T49" i="48"/>
  <c r="Y4" i="119"/>
  <c r="Z4" i="119" s="1"/>
  <c r="U49" i="48" l="1"/>
  <c r="T48" i="48"/>
  <c r="U49" i="122"/>
  <c r="T48" i="122"/>
  <c r="T26" i="122"/>
  <c r="T26" i="120"/>
  <c r="T26" i="245"/>
  <c r="T4" i="141"/>
  <c r="T26" i="144"/>
  <c r="T26" i="5"/>
  <c r="T4" i="248"/>
  <c r="T26" i="12"/>
  <c r="T4" i="13"/>
  <c r="T4" i="247"/>
  <c r="T48" i="15"/>
  <c r="T26" i="87"/>
  <c r="U27" i="87"/>
  <c r="T26" i="91"/>
  <c r="T4" i="65"/>
  <c r="T4" i="75"/>
  <c r="T26" i="63"/>
  <c r="T4" i="66"/>
  <c r="T4" i="38"/>
  <c r="T4" i="249"/>
  <c r="T48" i="69"/>
  <c r="U49" i="69"/>
  <c r="T26" i="80"/>
  <c r="U27" i="80"/>
  <c r="T4" i="94"/>
  <c r="T4" i="24"/>
  <c r="T26" i="73"/>
  <c r="U49" i="10"/>
  <c r="T48" i="10"/>
  <c r="U5" i="10"/>
  <c r="T4" i="10"/>
  <c r="T26" i="249"/>
  <c r="T4" i="60"/>
  <c r="U29" i="97"/>
  <c r="T26" i="97"/>
  <c r="U49" i="96"/>
  <c r="T48" i="96"/>
  <c r="T48" i="61"/>
  <c r="U49" i="61"/>
  <c r="U27" i="76"/>
  <c r="T26" i="76"/>
  <c r="T48" i="74"/>
  <c r="T4" i="64"/>
  <c r="U5" i="64"/>
  <c r="T4" i="63"/>
  <c r="T26" i="81"/>
  <c r="T26" i="84"/>
  <c r="T26" i="108"/>
  <c r="T26" i="57"/>
  <c r="U27" i="57"/>
  <c r="T26" i="95"/>
  <c r="U28" i="52"/>
  <c r="T26" i="52"/>
  <c r="T26" i="59"/>
  <c r="T48" i="57"/>
  <c r="T4" i="102"/>
  <c r="T26" i="102"/>
  <c r="T26" i="48"/>
  <c r="U30" i="48"/>
  <c r="U30" i="92"/>
  <c r="T26" i="92"/>
  <c r="T26" i="99"/>
  <c r="T4" i="48"/>
  <c r="T26" i="49"/>
  <c r="T26" i="121"/>
  <c r="U27" i="121"/>
  <c r="T48" i="116"/>
  <c r="U49" i="116"/>
  <c r="U49" i="155"/>
  <c r="T48" i="155"/>
  <c r="T4" i="144"/>
  <c r="T48" i="169"/>
  <c r="T26" i="244"/>
  <c r="U28" i="244"/>
  <c r="T4" i="73"/>
  <c r="T26" i="56"/>
  <c r="U27" i="56"/>
  <c r="U28" i="65"/>
  <c r="T26" i="65"/>
  <c r="T48" i="66"/>
  <c r="U49" i="66"/>
  <c r="T26" i="74"/>
  <c r="T26" i="62"/>
  <c r="U27" i="62"/>
  <c r="U5" i="37"/>
  <c r="T4" i="37"/>
  <c r="T48" i="53"/>
  <c r="T70" i="53"/>
  <c r="T4" i="59"/>
  <c r="U29" i="118"/>
  <c r="T26" i="118"/>
  <c r="T26" i="123"/>
  <c r="U27" i="123"/>
  <c r="U9" i="121"/>
  <c r="T4" i="121"/>
  <c r="T4" i="122"/>
  <c r="T4" i="41"/>
  <c r="U5" i="41"/>
  <c r="T4" i="49"/>
  <c r="U121" i="141"/>
  <c r="T122" i="141"/>
  <c r="U49" i="153"/>
  <c r="T48" i="153"/>
  <c r="T48" i="60"/>
  <c r="U50" i="60"/>
  <c r="T26" i="116"/>
  <c r="T26" i="90"/>
  <c r="T26" i="75"/>
  <c r="T26" i="69"/>
  <c r="T4" i="96"/>
  <c r="T4" i="95"/>
  <c r="T4" i="87"/>
  <c r="T4" i="76"/>
  <c r="T26" i="103"/>
  <c r="T48" i="80"/>
  <c r="T26" i="107"/>
  <c r="T26" i="94"/>
  <c r="T4" i="77"/>
  <c r="U5" i="77"/>
  <c r="T4" i="104"/>
  <c r="T4" i="120"/>
  <c r="U5" i="120"/>
  <c r="T48" i="117"/>
  <c r="T4" i="142"/>
  <c r="U5" i="142"/>
  <c r="T48" i="173"/>
  <c r="T48" i="14"/>
  <c r="U49" i="14"/>
  <c r="T26" i="54"/>
  <c r="Y114" i="10"/>
  <c r="T26" i="10"/>
  <c r="U27" i="10"/>
  <c r="T4" i="93"/>
  <c r="U7" i="93"/>
  <c r="T4" i="12"/>
  <c r="T4" i="56"/>
  <c r="T4" i="15"/>
  <c r="T26" i="72"/>
  <c r="T4" i="57"/>
  <c r="T26" i="58"/>
  <c r="T4" i="74"/>
  <c r="U6" i="69"/>
  <c r="T4" i="69"/>
  <c r="U7" i="84"/>
  <c r="T4" i="84"/>
  <c r="T26" i="83"/>
  <c r="T26" i="64"/>
  <c r="T26" i="100"/>
  <c r="U6" i="40"/>
  <c r="T4" i="40"/>
  <c r="U6" i="123"/>
  <c r="T4" i="123"/>
  <c r="Y114" i="119"/>
  <c r="T4" i="119"/>
  <c r="T4" i="54"/>
  <c r="T48" i="70"/>
  <c r="U49" i="70"/>
  <c r="T4" i="39"/>
  <c r="T26" i="86"/>
  <c r="U49" i="65"/>
  <c r="T48" i="65"/>
  <c r="U49" i="55"/>
  <c r="T48" i="55"/>
  <c r="U49" i="98"/>
  <c r="T48" i="98"/>
  <c r="T26" i="60"/>
  <c r="T70" i="74"/>
  <c r="T26" i="98"/>
  <c r="T26" i="68"/>
  <c r="T4" i="68"/>
  <c r="T4" i="106"/>
  <c r="U5" i="106"/>
  <c r="T48" i="104"/>
  <c r="T4" i="80"/>
  <c r="U49" i="52"/>
  <c r="T48" i="52"/>
  <c r="T4" i="81"/>
  <c r="T26" i="101"/>
  <c r="T48" i="90"/>
  <c r="U49" i="90"/>
  <c r="Y114" i="118"/>
  <c r="T4" i="118"/>
  <c r="T26" i="119"/>
  <c r="U8" i="117"/>
  <c r="T4" i="117"/>
  <c r="T48" i="156"/>
  <c r="T26" i="247"/>
  <c r="T4" i="244"/>
  <c r="T26" i="246"/>
  <c r="U6" i="89"/>
  <c r="T4" i="89"/>
  <c r="T4" i="72"/>
  <c r="U5" i="72"/>
  <c r="U7" i="71"/>
  <c r="T4" i="71"/>
  <c r="T26" i="67"/>
  <c r="T4" i="55"/>
  <c r="T4" i="67"/>
  <c r="T92" i="53"/>
  <c r="T4" i="103"/>
  <c r="T4" i="105"/>
  <c r="T4" i="101"/>
  <c r="T123" i="141" l="1"/>
  <c r="U122" i="141"/>
  <c r="T124" i="141" l="1"/>
  <c r="U123" i="141"/>
  <c r="T125" i="141" l="1"/>
  <c r="U124" i="141"/>
  <c r="T126" i="141" l="1"/>
  <c r="U125" i="141"/>
  <c r="U126" i="141" l="1"/>
  <c r="T127" i="141"/>
  <c r="T128" i="141" l="1"/>
  <c r="U128" i="141" s="1"/>
  <c r="U129" i="141" s="1"/>
  <c r="U127" i="141"/>
  <c r="K116" i="195"/>
  <c r="K117" i="195"/>
  <c r="K115" i="5"/>
  <c r="K116" i="5"/>
  <c r="K116" i="236"/>
  <c r="K117" i="236"/>
  <c r="K117" i="192"/>
  <c r="K116" i="192"/>
  <c r="K116" i="191"/>
  <c r="K117" i="1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000-000001000000}">
      <text>
        <r>
          <rPr>
            <b/>
            <sz val="9"/>
            <rFont val="宋体"/>
            <family val="3"/>
            <charset val="134"/>
          </rPr>
          <t>作者:
查看利息支付回单金额是否与企业利息支付汇总表一致</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900-000001000000}">
      <text>
        <r>
          <rPr>
            <b/>
            <sz val="9"/>
            <rFont val="宋体"/>
            <family val="3"/>
            <charset val="134"/>
          </rPr>
          <t>作者:
查看利息支付回单金额是否与企业利息支付汇总表一致</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900-000001000000}">
      <text>
        <r>
          <rPr>
            <b/>
            <sz val="9"/>
            <rFont val="宋体"/>
            <family val="3"/>
            <charset val="134"/>
          </rPr>
          <t>作者:
查看利息支付回单金额是否与企业利息支付汇总表一致</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A00-000001000000}">
      <text>
        <r>
          <rPr>
            <b/>
            <sz val="9"/>
            <rFont val="宋体"/>
            <family val="3"/>
            <charset val="134"/>
          </rPr>
          <t>作者:
查看利息支付回单金额是否与企业利息支付汇总表一致</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B00-000001000000}">
      <text>
        <r>
          <rPr>
            <b/>
            <sz val="9"/>
            <rFont val="宋体"/>
            <family val="3"/>
            <charset val="134"/>
          </rPr>
          <t>作者:
查看利息支付回单金额是否与企业利息支付汇总表一致</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C00-000001000000}">
      <text>
        <r>
          <rPr>
            <b/>
            <sz val="9"/>
            <rFont val="宋体"/>
            <family val="3"/>
            <charset val="134"/>
          </rPr>
          <t>作者:
查看利息支付回单金额是否与企业利息支付汇总表一致</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D00-000001000000}">
      <text>
        <r>
          <rPr>
            <b/>
            <sz val="9"/>
            <rFont val="宋体"/>
            <family val="3"/>
            <charset val="134"/>
          </rPr>
          <t>作者:
查看利息支付回单金额是否与企业利息支付汇总表一致</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E00-000001000000}">
      <text>
        <r>
          <rPr>
            <b/>
            <sz val="9"/>
            <rFont val="宋体"/>
            <family val="3"/>
            <charset val="134"/>
          </rPr>
          <t>作者:
查看利息支付回单金额是否与企业利息支付汇总表一致</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F00-000001000000}">
      <text>
        <r>
          <rPr>
            <b/>
            <sz val="9"/>
            <rFont val="宋体"/>
            <family val="3"/>
            <charset val="134"/>
          </rPr>
          <t>作者:
查看利息支付回单金额是否与企业利息支付汇总表一致</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000-000001000000}">
      <text>
        <r>
          <rPr>
            <b/>
            <sz val="9"/>
            <rFont val="宋体"/>
            <family val="3"/>
            <charset val="134"/>
          </rPr>
          <t>作者:
查看利息支付回单金额是否与企业利息支付汇总表一致</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100-000001000000}">
      <text>
        <r>
          <rPr>
            <b/>
            <sz val="9"/>
            <rFont val="宋体"/>
            <family val="3"/>
            <charset val="134"/>
          </rPr>
          <t>作者:
查看利息支付回单金额是否与企业利息支付汇总表一致</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200-000001000000}">
      <text>
        <r>
          <rPr>
            <b/>
            <sz val="9"/>
            <rFont val="宋体"/>
            <family val="3"/>
            <charset val="134"/>
          </rPr>
          <t>作者:
查看利息支付回单金额是否与企业利息支付汇总表一致</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A00-000001000000}">
      <text>
        <r>
          <rPr>
            <b/>
            <sz val="9"/>
            <rFont val="宋体"/>
            <family val="3"/>
            <charset val="134"/>
          </rPr>
          <t>作者:
查看利息支付回单金额是否与企业利息支付汇总表一致</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300-000001000000}">
      <text>
        <r>
          <rPr>
            <b/>
            <sz val="9"/>
            <rFont val="宋体"/>
            <family val="3"/>
            <charset val="134"/>
          </rPr>
          <t>作者:
查看利息支付回单金额是否与企业利息支付汇总表一致</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400-000001000000}">
      <text>
        <r>
          <rPr>
            <b/>
            <sz val="9"/>
            <rFont val="宋体"/>
            <family val="3"/>
            <charset val="134"/>
          </rPr>
          <t>作者:
查看利息支付回单金额是否与企业利息支付汇总表一致</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500-000001000000}">
      <text>
        <r>
          <rPr>
            <b/>
            <sz val="9"/>
            <rFont val="宋体"/>
            <family val="3"/>
            <charset val="134"/>
          </rPr>
          <t>作者:
查看利息支付回单金额是否与企业利息支付汇总表一致</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600-000001000000}">
      <text>
        <r>
          <rPr>
            <b/>
            <sz val="9"/>
            <rFont val="宋体"/>
            <family val="3"/>
            <charset val="134"/>
          </rPr>
          <t>作者:
查看利息支付回单金额是否与企业利息支付汇总表一致</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700-000001000000}">
      <text>
        <r>
          <rPr>
            <b/>
            <sz val="9"/>
            <rFont val="宋体"/>
            <family val="3"/>
            <charset val="134"/>
          </rPr>
          <t>作者:
查看利息支付回单金额是否与企业利息支付汇总表一致</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800-000001000000}">
      <text>
        <r>
          <rPr>
            <b/>
            <sz val="9"/>
            <rFont val="宋体"/>
            <family val="3"/>
            <charset val="134"/>
          </rPr>
          <t>作者:
查看利息支付回单金额是否与企业利息支付汇总表一致</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900-000001000000}">
      <text>
        <r>
          <rPr>
            <b/>
            <sz val="9"/>
            <rFont val="宋体"/>
            <family val="3"/>
            <charset val="134"/>
          </rPr>
          <t>作者:
查看利息支付回单金额是否与企业利息支付汇总表一致</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A00-000001000000}">
      <text>
        <r>
          <rPr>
            <b/>
            <sz val="9"/>
            <rFont val="宋体"/>
            <family val="3"/>
            <charset val="134"/>
          </rPr>
          <t>作者:
查看利息支付回单金额是否与企业利息支付汇总表一致</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B00-000001000000}">
      <text>
        <r>
          <rPr>
            <b/>
            <sz val="9"/>
            <rFont val="宋体"/>
            <family val="3"/>
            <charset val="134"/>
          </rPr>
          <t>作者:
查看利息支付回单金额是否与企业利息支付汇总表一致</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C00-000001000000}">
      <text>
        <r>
          <rPr>
            <b/>
            <sz val="9"/>
            <rFont val="宋体"/>
            <family val="3"/>
            <charset val="134"/>
          </rPr>
          <t>作者:
查看利息支付回单金额是否与企业利息支付汇总表一致</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B00-000001000000}">
      <text>
        <r>
          <rPr>
            <b/>
            <sz val="9"/>
            <rFont val="宋体"/>
            <family val="3"/>
            <charset val="134"/>
          </rPr>
          <t>作者:
查看利息支付回单金额是否与企业利息支付汇总表一致</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D00-000001000000}">
      <text>
        <r>
          <rPr>
            <b/>
            <sz val="9"/>
            <rFont val="宋体"/>
            <family val="3"/>
            <charset val="134"/>
          </rPr>
          <t>作者:
查看利息支付回单金额是否与企业利息支付汇总表一致</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E00-000001000000}">
      <text>
        <r>
          <rPr>
            <b/>
            <sz val="9"/>
            <rFont val="宋体"/>
            <family val="3"/>
            <charset val="134"/>
          </rPr>
          <t>作者:
查看利息支付回单金额是否与企业利息支付汇总表一致</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7F00-000001000000}">
      <text>
        <r>
          <rPr>
            <b/>
            <sz val="9"/>
            <rFont val="宋体"/>
            <family val="3"/>
            <charset val="134"/>
          </rPr>
          <t>作者:
查看利息支付回单金额是否与企业利息支付汇总表一致</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000-000001000000}">
      <text>
        <r>
          <rPr>
            <b/>
            <sz val="9"/>
            <rFont val="宋体"/>
            <family val="3"/>
            <charset val="134"/>
          </rPr>
          <t>作者:
查看利息支付回单金额是否与企业利息支付汇总表一致</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100-000001000000}">
      <text>
        <r>
          <rPr>
            <b/>
            <sz val="9"/>
            <rFont val="宋体"/>
            <family val="3"/>
            <charset val="134"/>
          </rPr>
          <t>作者:
查看利息支付回单金额是否与企业利息支付汇总表一致</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200-000001000000}">
      <text>
        <r>
          <rPr>
            <b/>
            <sz val="9"/>
            <rFont val="宋体"/>
            <family val="3"/>
            <charset val="134"/>
          </rPr>
          <t>作者:
查看利息支付回单金额是否与企业利息支付汇总表一致</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300-000001000000}">
      <text>
        <r>
          <rPr>
            <b/>
            <sz val="9"/>
            <rFont val="宋体"/>
            <family val="3"/>
            <charset val="134"/>
          </rPr>
          <t>作者:
查看利息支付回单金额是否与企业利息支付汇总表一致</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400-000001000000}">
      <text>
        <r>
          <rPr>
            <b/>
            <sz val="9"/>
            <rFont val="宋体"/>
            <family val="3"/>
            <charset val="134"/>
          </rPr>
          <t>作者:
查看利息支付回单金额是否与企业利息支付汇总表一致</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500-000001000000}">
      <text>
        <r>
          <rPr>
            <b/>
            <sz val="9"/>
            <rFont val="宋体"/>
            <family val="3"/>
            <charset val="134"/>
          </rPr>
          <t>作者:
查看利息支付回单金额是否与企业利息支付汇总表一致</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600-000001000000}">
      <text>
        <r>
          <rPr>
            <b/>
            <sz val="9"/>
            <rFont val="宋体"/>
            <family val="3"/>
            <charset val="134"/>
          </rPr>
          <t>作者:
查看利息支付回单金额是否与企业利息支付汇总表一致</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C00-000001000000}">
      <text>
        <r>
          <rPr>
            <b/>
            <sz val="9"/>
            <rFont val="宋体"/>
            <family val="3"/>
            <charset val="134"/>
          </rPr>
          <t>作者:
查看利息支付回单金额是否与企业利息支付汇总表一致</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700-000001000000}">
      <text>
        <r>
          <rPr>
            <b/>
            <sz val="9"/>
            <rFont val="宋体"/>
            <family val="3"/>
            <charset val="134"/>
          </rPr>
          <t>作者:
查看利息支付回单金额是否与企业利息支付汇总表一致</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800-000001000000}">
      <text>
        <r>
          <rPr>
            <b/>
            <sz val="9"/>
            <rFont val="宋体"/>
            <family val="3"/>
            <charset val="134"/>
          </rPr>
          <t>作者:
查看利息支付回单金额是否与企业利息支付汇总表一致</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900-000001000000}">
      <text>
        <r>
          <rPr>
            <b/>
            <sz val="9"/>
            <rFont val="宋体"/>
            <family val="3"/>
            <charset val="134"/>
          </rPr>
          <t>作者:
查看利息支付回单金额是否与企业利息支付汇总表一致</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A00-000001000000}">
      <text>
        <r>
          <rPr>
            <b/>
            <sz val="9"/>
            <rFont val="宋体"/>
            <family val="3"/>
            <charset val="134"/>
          </rPr>
          <t>作者:
查看利息支付回单金额是否与企业利息支付汇总表一致</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B00-000001000000}">
      <text>
        <r>
          <rPr>
            <b/>
            <sz val="9"/>
            <rFont val="宋体"/>
            <family val="3"/>
            <charset val="134"/>
          </rPr>
          <t>作者:
查看利息支付回单金额是否与企业利息支付汇总表一致</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C00-000001000000}">
      <text>
        <r>
          <rPr>
            <b/>
            <sz val="9"/>
            <rFont val="宋体"/>
            <family val="3"/>
            <charset val="134"/>
          </rPr>
          <t>作者:
查看利息支付回单金额是否与企业利息支付汇总表一致</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D00-000001000000}">
      <text>
        <r>
          <rPr>
            <b/>
            <sz val="9"/>
            <rFont val="宋体"/>
            <family val="3"/>
            <charset val="134"/>
          </rPr>
          <t>作者:
查看利息支付回单金额是否与企业利息支付汇总表一致</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E00-000001000000}">
      <text>
        <r>
          <rPr>
            <b/>
            <sz val="9"/>
            <rFont val="宋体"/>
            <family val="3"/>
            <charset val="134"/>
          </rPr>
          <t>作者:
查看利息支付回单金额是否与企业利息支付汇总表一致</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8F00-000001000000}">
      <text>
        <r>
          <rPr>
            <b/>
            <sz val="9"/>
            <rFont val="宋体"/>
            <family val="3"/>
            <charset val="134"/>
          </rPr>
          <t>作者:
查看利息支付回单金额是否与企业利息支付汇总表一致</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000-000001000000}">
      <text>
        <r>
          <rPr>
            <b/>
            <sz val="9"/>
            <rFont val="宋体"/>
            <family val="3"/>
            <charset val="134"/>
          </rPr>
          <t>作者:
查看利息支付回单金额是否与企业利息支付汇总表一致</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D00-000001000000}">
      <text>
        <r>
          <rPr>
            <b/>
            <sz val="9"/>
            <rFont val="宋体"/>
            <family val="3"/>
            <charset val="134"/>
          </rPr>
          <t>作者:
查看利息支付回单金额是否与企业利息支付汇总表一致</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100-000001000000}">
      <text>
        <r>
          <rPr>
            <b/>
            <sz val="9"/>
            <rFont val="宋体"/>
            <family val="3"/>
            <charset val="134"/>
          </rPr>
          <t>作者:
查看利息支付回单金额是否与企业利息支付汇总表一致</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200-000001000000}">
      <text>
        <r>
          <rPr>
            <b/>
            <sz val="9"/>
            <rFont val="宋体"/>
            <family val="3"/>
            <charset val="134"/>
          </rPr>
          <t>作者:
查看利息支付回单金额是否与企业利息支付汇总表一致</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300-000001000000}">
      <text>
        <r>
          <rPr>
            <b/>
            <sz val="9"/>
            <rFont val="宋体"/>
            <family val="3"/>
            <charset val="134"/>
          </rPr>
          <t>作者:
查看利息支付回单金额是否与企业利息支付汇总表一致</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400-000001000000}">
      <text>
        <r>
          <rPr>
            <b/>
            <sz val="9"/>
            <rFont val="宋体"/>
            <family val="3"/>
            <charset val="134"/>
          </rPr>
          <t>作者:
查看利息支付回单金额是否与企业利息支付汇总表一致</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500-000001000000}">
      <text>
        <r>
          <rPr>
            <b/>
            <sz val="9"/>
            <rFont val="宋体"/>
            <family val="3"/>
            <charset val="134"/>
          </rPr>
          <t>作者:
查看利息支付回单金额是否与企业利息支付汇总表一致</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600-000001000000}">
      <text>
        <r>
          <rPr>
            <b/>
            <sz val="9"/>
            <rFont val="宋体"/>
            <family val="3"/>
            <charset val="134"/>
          </rPr>
          <t>作者:
查看利息支付回单金额是否与企业利息支付汇总表一致</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700-000001000000}">
      <text>
        <r>
          <rPr>
            <b/>
            <sz val="9"/>
            <rFont val="宋体"/>
            <family val="3"/>
            <charset val="134"/>
          </rPr>
          <t>作者:
查看利息支付回单金额是否与企业利息支付汇总表一致</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800-000001000000}">
      <text>
        <r>
          <rPr>
            <b/>
            <sz val="9"/>
            <rFont val="宋体"/>
            <family val="3"/>
            <charset val="134"/>
          </rPr>
          <t>作者:
查看利息支付回单金额是否与企业利息支付汇总表一致</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900-000001000000}">
      <text>
        <r>
          <rPr>
            <b/>
            <sz val="9"/>
            <rFont val="宋体"/>
            <family val="3"/>
            <charset val="134"/>
          </rPr>
          <t>作者:
查看利息支付回单金额是否与企业利息支付汇总表一致</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A00-000001000000}">
      <text>
        <r>
          <rPr>
            <b/>
            <sz val="9"/>
            <rFont val="宋体"/>
            <family val="3"/>
            <charset val="134"/>
          </rPr>
          <t>作者:
查看利息支付回单金额是否与企业利息支付汇总表一致</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E00-000001000000}">
      <text>
        <r>
          <rPr>
            <b/>
            <sz val="9"/>
            <rFont val="宋体"/>
            <family val="3"/>
            <charset val="134"/>
          </rPr>
          <t>作者:
查看利息支付回单金额是否与企业利息支付汇总表一致</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B00-000001000000}">
      <text>
        <r>
          <rPr>
            <b/>
            <sz val="9"/>
            <rFont val="宋体"/>
            <family val="3"/>
            <charset val="134"/>
          </rPr>
          <t>作者:
查看利息支付回单金额是否与企业利息支付汇总表一致</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C00-000001000000}">
      <text>
        <r>
          <rPr>
            <b/>
            <sz val="9"/>
            <rFont val="宋体"/>
            <family val="3"/>
            <charset val="134"/>
          </rPr>
          <t>作者:
查看利息支付回单金额是否与企业利息支付汇总表一致</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D00-000001000000}">
      <text>
        <r>
          <rPr>
            <b/>
            <sz val="9"/>
            <rFont val="宋体"/>
            <family val="3"/>
            <charset val="134"/>
          </rPr>
          <t>作者:
查看利息支付回单金额是否与企业利息支付汇总表一致</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E00-000001000000}">
      <text>
        <r>
          <rPr>
            <b/>
            <sz val="9"/>
            <rFont val="宋体"/>
            <family val="3"/>
            <charset val="134"/>
          </rPr>
          <t>作者:
查看利息支付回单金额是否与企业利息支付汇总表一致</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9F00-000001000000}">
      <text>
        <r>
          <rPr>
            <b/>
            <sz val="9"/>
            <rFont val="宋体"/>
            <family val="3"/>
            <charset val="134"/>
          </rPr>
          <t>作者:
查看利息支付回单金额是否与企业利息支付汇总表一致</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000-000001000000}">
      <text>
        <r>
          <rPr>
            <b/>
            <sz val="9"/>
            <rFont val="宋体"/>
            <family val="3"/>
            <charset val="134"/>
          </rPr>
          <t>作者:
查看利息支付回单金额是否与企业利息支付汇总表一致</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100-000001000000}">
      <text>
        <r>
          <rPr>
            <b/>
            <sz val="9"/>
            <rFont val="宋体"/>
            <family val="3"/>
            <charset val="134"/>
          </rPr>
          <t>作者:
查看利息支付回单金额是否与企业利息支付汇总表一致</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200-000001000000}">
      <text>
        <r>
          <rPr>
            <b/>
            <sz val="9"/>
            <rFont val="宋体"/>
            <family val="3"/>
            <charset val="134"/>
          </rPr>
          <t>作者:
查看利息支付回单金额是否与企业利息支付汇总表一致</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300-000001000000}">
      <text>
        <r>
          <rPr>
            <b/>
            <sz val="9"/>
            <rFont val="宋体"/>
            <family val="3"/>
            <charset val="134"/>
          </rPr>
          <t>作者:
查看利息支付回单金额是否与企业利息支付汇总表一致</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400-000001000000}">
      <text>
        <r>
          <rPr>
            <b/>
            <sz val="9"/>
            <rFont val="宋体"/>
            <family val="3"/>
            <charset val="134"/>
          </rPr>
          <t>作者:
查看利息支付回单金额是否与企业利息支付汇总表一致</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F00-000001000000}">
      <text>
        <r>
          <rPr>
            <b/>
            <sz val="9"/>
            <rFont val="宋体"/>
            <family val="3"/>
            <charset val="134"/>
          </rPr>
          <t>作者:
查看利息支付回单金额是否与企业利息支付汇总表一致</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500-000001000000}">
      <text>
        <r>
          <rPr>
            <b/>
            <sz val="9"/>
            <rFont val="宋体"/>
            <family val="3"/>
            <charset val="134"/>
          </rPr>
          <t>作者:
查看利息支付回单金额是否与企业利息支付汇总表一致</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600-000001000000}">
      <text>
        <r>
          <rPr>
            <b/>
            <sz val="9"/>
            <rFont val="宋体"/>
            <family val="3"/>
            <charset val="134"/>
          </rPr>
          <t>作者:
查看利息支付回单金额是否与企业利息支付汇总表一致</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700-000001000000}">
      <text>
        <r>
          <rPr>
            <b/>
            <sz val="9"/>
            <rFont val="宋体"/>
            <family val="3"/>
            <charset val="134"/>
          </rPr>
          <t>作者:
查看利息支付回单金额是否与企业利息支付汇总表一致</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800-000001000000}">
      <text>
        <r>
          <rPr>
            <b/>
            <sz val="9"/>
            <rFont val="宋体"/>
            <family val="3"/>
            <charset val="134"/>
          </rPr>
          <t>作者:
查看利息支付回单金额是否与企业利息支付汇总表一致</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900-000001000000}">
      <text>
        <r>
          <rPr>
            <b/>
            <sz val="9"/>
            <rFont val="宋体"/>
            <family val="3"/>
            <charset val="134"/>
          </rPr>
          <t>作者:
查看利息支付回单金额是否与企业利息支付汇总表一致</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A00-000001000000}">
      <text>
        <r>
          <rPr>
            <b/>
            <sz val="9"/>
            <rFont val="宋体"/>
            <family val="3"/>
            <charset val="134"/>
          </rPr>
          <t>作者:
查看利息支付回单金额是否与企业利息支付汇总表一致</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B00-000001000000}">
      <text>
        <r>
          <rPr>
            <b/>
            <sz val="9"/>
            <rFont val="宋体"/>
            <family val="3"/>
            <charset val="134"/>
          </rPr>
          <t>作者:
查看利息支付回单金额是否与企业利息支付汇总表一致</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C00-000001000000}">
      <text>
        <r>
          <rPr>
            <b/>
            <sz val="9"/>
            <rFont val="宋体"/>
            <family val="3"/>
            <charset val="134"/>
          </rPr>
          <t>作者:
查看利息支付回单金额是否与企业利息支付汇总表一致</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D00-000001000000}">
      <text>
        <r>
          <rPr>
            <b/>
            <sz val="9"/>
            <rFont val="宋体"/>
            <family val="3"/>
            <charset val="134"/>
          </rPr>
          <t>作者:
查看利息支付回单金额是否与企业利息支付汇总表一致</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E00-000001000000}">
      <text>
        <r>
          <rPr>
            <b/>
            <sz val="9"/>
            <rFont val="宋体"/>
            <family val="3"/>
            <charset val="134"/>
          </rPr>
          <t>作者:
查看利息支付回单金额是否与企业利息支付汇总表一致</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000-000001000000}">
      <text>
        <r>
          <rPr>
            <b/>
            <sz val="9"/>
            <rFont val="宋体"/>
            <family val="3"/>
            <charset val="134"/>
          </rPr>
          <t>作者:
查看利息支付回单金额是否与企业利息支付汇总表一致</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AF00-000001000000}">
      <text>
        <r>
          <rPr>
            <b/>
            <sz val="9"/>
            <rFont val="宋体"/>
            <family val="3"/>
            <charset val="134"/>
          </rPr>
          <t>作者:
查看利息支付回单金额是否与企业利息支付汇总表一致</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000-000001000000}">
      <text>
        <r>
          <rPr>
            <b/>
            <sz val="9"/>
            <rFont val="宋体"/>
            <family val="3"/>
            <charset val="134"/>
          </rPr>
          <t>作者:
查看利息支付回单金额是否与企业利息支付汇总表一致</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100-000001000000}">
      <text>
        <r>
          <rPr>
            <b/>
            <sz val="9"/>
            <rFont val="宋体"/>
            <family val="3"/>
            <charset val="134"/>
          </rPr>
          <t>作者:
查看利息支付回单金额是否与企业利息支付汇总表一致</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200-000001000000}">
      <text>
        <r>
          <rPr>
            <b/>
            <sz val="9"/>
            <rFont val="宋体"/>
            <family val="3"/>
            <charset val="134"/>
          </rPr>
          <t>作者:
查看利息支付回单金额是否与企业利息支付汇总表一致</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300-000001000000}">
      <text>
        <r>
          <rPr>
            <b/>
            <sz val="9"/>
            <rFont val="宋体"/>
            <family val="3"/>
            <charset val="134"/>
          </rPr>
          <t>作者:
查看利息支付回单金额是否与企业利息支付汇总表一致</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400-000001000000}">
      <text>
        <r>
          <rPr>
            <b/>
            <sz val="9"/>
            <rFont val="宋体"/>
            <family val="3"/>
            <charset val="134"/>
          </rPr>
          <t>作者:
查看利息支付回单金额是否与企业利息支付汇总表一致</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500-000001000000}">
      <text>
        <r>
          <rPr>
            <b/>
            <sz val="9"/>
            <rFont val="宋体"/>
            <family val="3"/>
            <charset val="134"/>
          </rPr>
          <t>作者:
查看利息支付回单金额是否与企业利息支付汇总表一致</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600-000001000000}">
      <text>
        <r>
          <rPr>
            <b/>
            <sz val="9"/>
            <rFont val="宋体"/>
            <family val="3"/>
            <charset val="134"/>
          </rPr>
          <t>作者:
查看利息支付回单金额是否与企业利息支付汇总表一致</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700-000001000000}">
      <text>
        <r>
          <rPr>
            <b/>
            <sz val="9"/>
            <rFont val="宋体"/>
            <family val="3"/>
            <charset val="134"/>
          </rPr>
          <t>作者:
查看利息支付回单金额是否与企业利息支付汇总表一致</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800-000001000000}">
      <text>
        <r>
          <rPr>
            <b/>
            <sz val="9"/>
            <rFont val="宋体"/>
            <family val="3"/>
            <charset val="134"/>
          </rPr>
          <t>作者:
查看利息支付回单金额是否与企业利息支付汇总表一致</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100-000001000000}">
      <text>
        <r>
          <rPr>
            <b/>
            <sz val="9"/>
            <rFont val="宋体"/>
            <family val="3"/>
            <charset val="134"/>
          </rPr>
          <t>作者:
查看利息支付回单金额是否与企业利息支付汇总表一致</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900-000001000000}">
      <text>
        <r>
          <rPr>
            <b/>
            <sz val="9"/>
            <rFont val="宋体"/>
            <family val="3"/>
            <charset val="134"/>
          </rPr>
          <t>作者:
查看利息支付回单金额是否与企业利息支付汇总表一致</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A00-000001000000}">
      <text>
        <r>
          <rPr>
            <b/>
            <sz val="9"/>
            <rFont val="宋体"/>
            <family val="3"/>
            <charset val="134"/>
          </rPr>
          <t>作者:
查看利息支付回单金额是否与企业利息支付汇总表一致</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B00-000001000000}">
      <text>
        <r>
          <rPr>
            <b/>
            <sz val="9"/>
            <rFont val="宋体"/>
            <family val="3"/>
            <charset val="134"/>
          </rPr>
          <t>作者:
查看利息支付回单金额是否与企业利息支付汇总表一致</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C00-000001000000}">
      <text>
        <r>
          <rPr>
            <b/>
            <sz val="9"/>
            <rFont val="宋体"/>
            <family val="3"/>
            <charset val="134"/>
          </rPr>
          <t>作者:
查看利息支付回单金额是否与企业利息支付汇总表一致</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D00-000001000000}">
      <text>
        <r>
          <rPr>
            <b/>
            <sz val="9"/>
            <rFont val="宋体"/>
            <family val="3"/>
            <charset val="134"/>
          </rPr>
          <t>作者:
查看利息支付回单金额是否与企业利息支付汇总表一致</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E00-000001000000}">
      <text>
        <r>
          <rPr>
            <b/>
            <sz val="9"/>
            <rFont val="宋体"/>
            <family val="3"/>
            <charset val="134"/>
          </rPr>
          <t>作者:
查看利息支付回单金额是否与企业利息支付汇总表一致</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BF00-000001000000}">
      <text>
        <r>
          <rPr>
            <b/>
            <sz val="9"/>
            <rFont val="宋体"/>
            <family val="3"/>
            <charset val="134"/>
          </rPr>
          <t>作者:
查看利息支付回单金额是否与企业利息支付汇总表一致</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000-000001000000}">
      <text>
        <r>
          <rPr>
            <b/>
            <sz val="9"/>
            <rFont val="宋体"/>
            <family val="3"/>
            <charset val="134"/>
          </rPr>
          <t>作者:
查看利息支付回单金额是否与企业利息支付汇总表一致</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100-000001000000}">
      <text>
        <r>
          <rPr>
            <b/>
            <sz val="9"/>
            <rFont val="宋体"/>
            <family val="3"/>
            <charset val="134"/>
          </rPr>
          <t>作者:
查看利息支付回单金额是否与企业利息支付汇总表一致</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200-000001000000}">
      <text>
        <r>
          <rPr>
            <b/>
            <sz val="9"/>
            <rFont val="宋体"/>
            <family val="3"/>
            <charset val="134"/>
          </rPr>
          <t>作者:
查看利息支付回单金额是否与企业利息支付汇总表一致</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200-000001000000}">
      <text>
        <r>
          <rPr>
            <b/>
            <sz val="9"/>
            <rFont val="宋体"/>
            <family val="3"/>
            <charset val="134"/>
          </rPr>
          <t>作者:
查看利息支付回单金额是否与企业利息支付汇总表一致</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300-000001000000}">
      <text>
        <r>
          <rPr>
            <b/>
            <sz val="9"/>
            <rFont val="宋体"/>
            <family val="3"/>
            <charset val="134"/>
          </rPr>
          <t>作者:
查看利息支付回单金额是否与企业利息支付汇总表一致</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400-000001000000}">
      <text>
        <r>
          <rPr>
            <b/>
            <sz val="9"/>
            <rFont val="宋体"/>
            <family val="3"/>
            <charset val="134"/>
          </rPr>
          <t>作者:
查看利息支付回单金额是否与企业利息支付汇总表一致</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500-000001000000}">
      <text>
        <r>
          <rPr>
            <b/>
            <sz val="9"/>
            <rFont val="宋体"/>
            <family val="3"/>
            <charset val="134"/>
          </rPr>
          <t>作者:
查看利息支付回单金额是否与企业利息支付汇总表一致</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600-000001000000}">
      <text>
        <r>
          <rPr>
            <b/>
            <sz val="9"/>
            <rFont val="宋体"/>
            <family val="3"/>
            <charset val="134"/>
          </rPr>
          <t>作者:
查看利息支付回单金额是否与企业利息支付汇总表一致</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700-000001000000}">
      <text>
        <r>
          <rPr>
            <b/>
            <sz val="9"/>
            <rFont val="宋体"/>
            <family val="3"/>
            <charset val="134"/>
          </rPr>
          <t>作者:
查看利息支付回单金额是否与企业利息支付汇总表一致</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800-000001000000}">
      <text>
        <r>
          <rPr>
            <b/>
            <sz val="9"/>
            <rFont val="宋体"/>
            <family val="3"/>
            <charset val="134"/>
          </rPr>
          <t>作者:
查看利息支付回单金额是否与企业利息支付汇总表一致</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900-000001000000}">
      <text>
        <r>
          <rPr>
            <b/>
            <sz val="9"/>
            <rFont val="宋体"/>
            <family val="3"/>
            <charset val="134"/>
          </rPr>
          <t>作者:
查看利息支付回单金额是否与企业利息支付汇总表一致</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A00-000001000000}">
      <text>
        <r>
          <rPr>
            <b/>
            <sz val="9"/>
            <rFont val="宋体"/>
            <family val="3"/>
            <charset val="134"/>
          </rPr>
          <t>作者:
查看利息支付回单金额是否与企业利息支付汇总表一致</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B00-000001000000}">
      <text>
        <r>
          <rPr>
            <b/>
            <sz val="9"/>
            <rFont val="宋体"/>
            <family val="3"/>
            <charset val="134"/>
          </rPr>
          <t>作者:
查看利息支付回单金额是否与企业利息支付汇总表一致</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C00-000001000000}">
      <text>
        <r>
          <rPr>
            <b/>
            <sz val="9"/>
            <rFont val="宋体"/>
            <family val="3"/>
            <charset val="134"/>
          </rPr>
          <t>作者:
查看利息支付回单金额是否与企业利息支付汇总表一致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100-000001000000}">
      <text>
        <r>
          <rPr>
            <b/>
            <sz val="9"/>
            <rFont val="宋体"/>
            <family val="3"/>
            <charset val="134"/>
          </rPr>
          <t>作者:
查看利息支付回单金额是否与企业利息支付汇总表一致</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300-000001000000}">
      <text>
        <r>
          <rPr>
            <b/>
            <sz val="9"/>
            <rFont val="宋体"/>
            <family val="3"/>
            <charset val="134"/>
          </rPr>
          <t>作者:
查看利息支付回单金额是否与企业利息支付汇总表一致</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D00-000001000000}">
      <text>
        <r>
          <rPr>
            <b/>
            <sz val="9"/>
            <rFont val="宋体"/>
            <family val="3"/>
            <charset val="134"/>
          </rPr>
          <t>作者:
查看利息支付回单金额是否与企业利息支付汇总表一致</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E00-000001000000}">
      <text>
        <r>
          <rPr>
            <b/>
            <sz val="9"/>
            <rFont val="宋体"/>
            <family val="3"/>
            <charset val="134"/>
          </rPr>
          <t>作者:
查看利息支付回单金额是否与企业利息支付汇总表一致</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CF00-000001000000}">
      <text>
        <r>
          <rPr>
            <b/>
            <sz val="9"/>
            <rFont val="宋体"/>
            <family val="3"/>
            <charset val="134"/>
          </rPr>
          <t>作者:
查看利息支付回单金额是否与企业利息支付汇总表一致</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D000-000001000000}">
      <text>
        <r>
          <rPr>
            <b/>
            <sz val="9"/>
            <rFont val="宋体"/>
            <family val="3"/>
            <charset val="134"/>
          </rPr>
          <t>作者:
查看利息支付回单金额是否与企业利息支付汇总表一致</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D100-000001000000}">
      <text>
        <r>
          <rPr>
            <b/>
            <sz val="9"/>
            <rFont val="宋体"/>
            <family val="3"/>
            <charset val="134"/>
          </rPr>
          <t>作者:
查看利息支付回单金额是否与企业利息支付汇总表一致</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D200-000001000000}">
      <text>
        <r>
          <rPr>
            <b/>
            <sz val="9"/>
            <rFont val="宋体"/>
            <family val="3"/>
            <charset val="134"/>
          </rPr>
          <t>作者:
查看利息支付回单金额是否与企业利息支付汇总表一致</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D300-000001000000}">
      <text>
        <r>
          <rPr>
            <b/>
            <sz val="9"/>
            <rFont val="宋体"/>
            <family val="3"/>
            <charset val="134"/>
          </rPr>
          <t>作者:
查看利息支付回单金额是否与企业利息支付汇总表一致</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D400-000001000000}">
      <text>
        <r>
          <rPr>
            <b/>
            <sz val="9"/>
            <rFont val="宋体"/>
            <family val="3"/>
            <charset val="134"/>
          </rPr>
          <t>作者:
查看利息支付回单金额是否与企业利息支付汇总表一致</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D500-000001000000}">
      <text>
        <r>
          <rPr>
            <b/>
            <sz val="9"/>
            <rFont val="宋体"/>
            <family val="3"/>
            <charset val="134"/>
          </rPr>
          <t>作者:
查看利息支付回单金额是否与企业利息支付汇总表一致</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400-000001000000}">
      <text>
        <r>
          <rPr>
            <b/>
            <sz val="9"/>
            <rFont val="宋体"/>
            <family val="3"/>
            <charset val="134"/>
          </rPr>
          <t>作者:
查看利息支付回单金额是否与企业利息支付汇总表一致</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500-000001000000}">
      <text>
        <r>
          <rPr>
            <b/>
            <sz val="9"/>
            <rFont val="宋体"/>
            <family val="3"/>
            <charset val="134"/>
          </rPr>
          <t>作者:
查看利息支付回单金额是否与企业利息支付汇总表一致</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600-000001000000}">
      <text>
        <r>
          <rPr>
            <b/>
            <sz val="9"/>
            <rFont val="宋体"/>
            <family val="3"/>
            <charset val="134"/>
          </rPr>
          <t>作者:
查看利息支付回单金额是否与企业利息支付汇总表一致</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700-000001000000}">
      <text>
        <r>
          <rPr>
            <b/>
            <sz val="9"/>
            <rFont val="宋体"/>
            <family val="3"/>
            <charset val="134"/>
          </rPr>
          <t>作者:
查看利息支付回单金额是否与企业利息支付汇总表一致</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800-000001000000}">
      <text>
        <r>
          <rPr>
            <b/>
            <sz val="9"/>
            <rFont val="宋体"/>
            <family val="3"/>
            <charset val="134"/>
          </rPr>
          <t>作者:
查看利息支付回单金额是否与企业利息支付汇总表一致</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900-000001000000}">
      <text>
        <r>
          <rPr>
            <b/>
            <sz val="9"/>
            <rFont val="宋体"/>
            <family val="3"/>
            <charset val="134"/>
          </rPr>
          <t>作者:
查看利息支付回单金额是否与企业利息支付汇总表一致</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A00-000001000000}">
      <text>
        <r>
          <rPr>
            <b/>
            <sz val="9"/>
            <rFont val="宋体"/>
            <family val="3"/>
            <charset val="134"/>
          </rPr>
          <t>作者:
查看利息支付回单金额是否与企业利息支付汇总表一致</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B00-000001000000}">
      <text>
        <r>
          <rPr>
            <b/>
            <sz val="9"/>
            <rFont val="宋体"/>
            <family val="3"/>
            <charset val="134"/>
          </rPr>
          <t>作者:
查看利息支付回单金额是否与企业利息支付汇总表一致</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C00-000001000000}">
      <text>
        <r>
          <rPr>
            <b/>
            <sz val="9"/>
            <rFont val="宋体"/>
            <family val="3"/>
            <charset val="134"/>
          </rPr>
          <t>作者:
查看利息支付回单金额是否与企业利息支付汇总表一致</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200-000001000000}">
      <text>
        <r>
          <rPr>
            <b/>
            <sz val="9"/>
            <rFont val="宋体"/>
            <family val="3"/>
            <charset val="134"/>
          </rPr>
          <t>作者:
查看利息支付回单金额是否与企业利息支付汇总表一致</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D00-000001000000}">
      <text>
        <r>
          <rPr>
            <b/>
            <sz val="9"/>
            <rFont val="宋体"/>
            <family val="3"/>
            <charset val="134"/>
          </rPr>
          <t>作者:
查看利息支付回单金额是否与企业利息支付汇总表一致</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E00-000001000000}">
      <text>
        <r>
          <rPr>
            <b/>
            <sz val="9"/>
            <rFont val="宋体"/>
            <family val="3"/>
            <charset val="134"/>
          </rPr>
          <t>作者:
查看利息支付回单金额是否与企业利息支付汇总表一致</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1F00-000001000000}">
      <text>
        <r>
          <rPr>
            <b/>
            <sz val="9"/>
            <rFont val="宋体"/>
            <family val="3"/>
            <charset val="134"/>
          </rPr>
          <t>作者:
查看利息支付回单金额是否与企业利息支付汇总表一致</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000-000001000000}">
      <text>
        <r>
          <rPr>
            <b/>
            <sz val="9"/>
            <rFont val="宋体"/>
            <family val="3"/>
            <charset val="134"/>
          </rPr>
          <t>作者:
查看利息支付回单金额是否与企业利息支付汇总表一致</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100-000001000000}">
      <text>
        <r>
          <rPr>
            <b/>
            <sz val="9"/>
            <rFont val="宋体"/>
            <family val="3"/>
            <charset val="134"/>
          </rPr>
          <t>作者:
查看利息支付回单金额是否与企业利息支付汇总表一致</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200-000001000000}">
      <text>
        <r>
          <rPr>
            <b/>
            <sz val="9"/>
            <rFont val="宋体"/>
            <family val="3"/>
            <charset val="134"/>
          </rPr>
          <t>作者:
查看利息支付回单金额是否与企业利息支付汇总表一致</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300-000001000000}">
      <text>
        <r>
          <rPr>
            <b/>
            <sz val="9"/>
            <rFont val="宋体"/>
            <family val="3"/>
            <charset val="134"/>
          </rPr>
          <t>作者:
查看利息支付回单金额是否与企业利息支付汇总表一致</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400-000001000000}">
      <text>
        <r>
          <rPr>
            <b/>
            <sz val="9"/>
            <rFont val="宋体"/>
            <family val="3"/>
            <charset val="134"/>
          </rPr>
          <t>作者:
查看利息支付回单金额是否与企业利息支付汇总表一致</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500-000001000000}">
      <text>
        <r>
          <rPr>
            <b/>
            <sz val="9"/>
            <rFont val="宋体"/>
            <family val="3"/>
            <charset val="134"/>
          </rPr>
          <t>作者:
查看利息支付回单金额是否与企业利息支付汇总表一致</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600-000001000000}">
      <text>
        <r>
          <rPr>
            <b/>
            <sz val="9"/>
            <rFont val="宋体"/>
            <family val="3"/>
            <charset val="134"/>
          </rPr>
          <t>作者:
查看利息支付回单金额是否与企业利息支付汇总表一致</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300-000001000000}">
      <text>
        <r>
          <rPr>
            <b/>
            <sz val="9"/>
            <rFont val="宋体"/>
            <family val="3"/>
            <charset val="134"/>
          </rPr>
          <t>作者:
查看利息支付回单金额是否与企业利息支付汇总表一致</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700-000001000000}">
      <text>
        <r>
          <rPr>
            <b/>
            <sz val="9"/>
            <rFont val="宋体"/>
            <family val="3"/>
            <charset val="134"/>
          </rPr>
          <t>作者:
查看利息支付回单金额是否与企业利息支付汇总表一致</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800-000001000000}">
      <text>
        <r>
          <rPr>
            <b/>
            <sz val="9"/>
            <rFont val="宋体"/>
            <family val="3"/>
            <charset val="134"/>
          </rPr>
          <t>作者:
查看利息支付回单金额是否与企业利息支付汇总表一致</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900-000001000000}">
      <text>
        <r>
          <rPr>
            <b/>
            <sz val="9"/>
            <rFont val="宋体"/>
            <family val="3"/>
            <charset val="134"/>
          </rPr>
          <t>作者:
查看利息支付回单金额是否与企业利息支付汇总表一致</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A00-000001000000}">
      <text>
        <r>
          <rPr>
            <b/>
            <sz val="9"/>
            <rFont val="宋体"/>
            <family val="3"/>
            <charset val="134"/>
          </rPr>
          <t>作者:
查看利息支付回单金额是否与企业利息支付汇总表一致</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B00-000001000000}">
      <text>
        <r>
          <rPr>
            <b/>
            <sz val="9"/>
            <rFont val="宋体"/>
            <family val="3"/>
            <charset val="134"/>
          </rPr>
          <t>作者:
查看利息支付回单金额是否与企业利息支付汇总表一致</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C00-000001000000}">
      <text>
        <r>
          <rPr>
            <b/>
            <sz val="9"/>
            <rFont val="宋体"/>
            <family val="3"/>
            <charset val="134"/>
          </rPr>
          <t>作者:
查看利息支付回单金额是否与企业利息支付汇总表一致</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D00-000001000000}">
      <text>
        <r>
          <rPr>
            <b/>
            <sz val="9"/>
            <rFont val="宋体"/>
            <family val="3"/>
            <charset val="134"/>
          </rPr>
          <t>作者:
查看利息支付回单金额是否与企业利息支付汇总表一致</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E00-000001000000}">
      <text>
        <r>
          <rPr>
            <b/>
            <sz val="9"/>
            <rFont val="宋体"/>
            <family val="3"/>
            <charset val="134"/>
          </rPr>
          <t>作者:
查看利息支付回单金额是否与企业利息支付汇总表一致</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2F00-000001000000}">
      <text>
        <r>
          <rPr>
            <b/>
            <sz val="9"/>
            <rFont val="宋体"/>
            <family val="3"/>
            <charset val="134"/>
          </rPr>
          <t>作者:
查看利息支付回单金额是否与企业利息支付汇总表一致</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000-000001000000}">
      <text>
        <r>
          <rPr>
            <b/>
            <sz val="9"/>
            <rFont val="宋体"/>
            <family val="3"/>
            <charset val="134"/>
          </rPr>
          <t>作者:
查看利息支付回单金额是否与企业利息支付汇总表一致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400-000001000000}">
      <text>
        <r>
          <rPr>
            <b/>
            <sz val="9"/>
            <rFont val="宋体"/>
            <family val="3"/>
            <charset val="134"/>
          </rPr>
          <t>作者:
查看利息支付回单金额是否与企业利息支付汇总表一致</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100-000001000000}">
      <text>
        <r>
          <rPr>
            <b/>
            <sz val="9"/>
            <rFont val="宋体"/>
            <family val="3"/>
            <charset val="134"/>
          </rPr>
          <t>作者:
查看利息支付回单金额是否与企业利息支付汇总表一致</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200-000001000000}">
      <text>
        <r>
          <rPr>
            <b/>
            <sz val="9"/>
            <rFont val="宋体"/>
            <family val="3"/>
            <charset val="134"/>
          </rPr>
          <t>作者:
查看利息支付回单金额是否与企业利息支付汇总表一致</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300-000001000000}">
      <text>
        <r>
          <rPr>
            <b/>
            <sz val="9"/>
            <rFont val="宋体"/>
            <family val="3"/>
            <charset val="134"/>
          </rPr>
          <t>作者:
查看利息支付回单金额是否与企业利息支付汇总表一致</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作者</author>
    <author>Administrator</author>
  </authors>
  <commentList>
    <comment ref="T3" authorId="0" shapeId="0" xr:uid="{00000000-0006-0000-3400-000001000000}">
      <text>
        <r>
          <rPr>
            <b/>
            <sz val="9"/>
            <rFont val="宋体"/>
            <family val="3"/>
            <charset val="134"/>
          </rPr>
          <t>作者:
查看利息支付回单金额是否与企业利息支付汇总表一致</t>
        </r>
      </text>
    </comment>
    <comment ref="I26" authorId="1" shapeId="0" xr:uid="{00000000-0006-0000-3400-000002000000}">
      <text>
        <r>
          <rPr>
            <b/>
            <sz val="9"/>
            <rFont val="宋体"/>
            <family val="3"/>
            <charset val="134"/>
          </rPr>
          <t>Administrator:</t>
        </r>
        <r>
          <rPr>
            <sz val="9"/>
            <rFont val="宋体"/>
            <family val="3"/>
            <charset val="134"/>
          </rPr>
          <t xml:space="preserve">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500-000001000000}">
      <text>
        <r>
          <rPr>
            <b/>
            <sz val="9"/>
            <rFont val="宋体"/>
            <family val="3"/>
            <charset val="134"/>
          </rPr>
          <t>作者:
查看利息支付回单金额是否与企业利息支付汇总表一致</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600-000001000000}">
      <text>
        <r>
          <rPr>
            <b/>
            <sz val="9"/>
            <rFont val="宋体"/>
            <family val="3"/>
            <charset val="134"/>
          </rPr>
          <t>作者:
查看利息支付回单金额是否与企业利息支付汇总表一致</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700-000001000000}">
      <text>
        <r>
          <rPr>
            <b/>
            <sz val="9"/>
            <rFont val="宋体"/>
            <family val="3"/>
            <charset val="134"/>
          </rPr>
          <t>作者:
查看利息支付回单金额是否与企业利息支付汇总表一致</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800-000001000000}">
      <text>
        <r>
          <rPr>
            <b/>
            <sz val="9"/>
            <rFont val="宋体"/>
            <family val="3"/>
            <charset val="134"/>
          </rPr>
          <t>作者:
查看利息支付回单金额是否与企业利息支付汇总表一致</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900-000001000000}">
      <text>
        <r>
          <rPr>
            <b/>
            <sz val="9"/>
            <rFont val="宋体"/>
            <family val="3"/>
            <charset val="134"/>
          </rPr>
          <t>作者:
查看利息支付回单金额是否与企业利息支付汇总表一致</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A00-000001000000}">
      <text>
        <r>
          <rPr>
            <b/>
            <sz val="9"/>
            <rFont val="宋体"/>
            <family val="3"/>
            <charset val="134"/>
          </rPr>
          <t>作者:
查看利息支付回单金额是否与企业利息支付汇总表一致</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500-000001000000}">
      <text>
        <r>
          <rPr>
            <b/>
            <sz val="9"/>
            <rFont val="宋体"/>
            <family val="3"/>
            <charset val="134"/>
          </rPr>
          <t>作者:
查看利息支付回单金额是否与企业利息支付汇总表一致</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B00-000001000000}">
      <text>
        <r>
          <rPr>
            <b/>
            <sz val="9"/>
            <rFont val="宋体"/>
            <family val="3"/>
            <charset val="134"/>
          </rPr>
          <t>作者:
查看利息支付回单金额是否与企业利息支付汇总表一致</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C00-000001000000}">
      <text>
        <r>
          <rPr>
            <b/>
            <sz val="9"/>
            <rFont val="宋体"/>
            <family val="3"/>
            <charset val="134"/>
          </rPr>
          <t>作者:
查看利息支付回单金额是否与企业利息支付汇总表一致</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3D00-000001000000}">
      <text>
        <r>
          <rPr>
            <b/>
            <sz val="9"/>
            <rFont val="宋体"/>
            <family val="3"/>
            <charset val="134"/>
          </rPr>
          <t>作者:
查看利息支付回单金额是否与企业利息支付汇总表一致</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400-000001000000}">
      <text>
        <r>
          <rPr>
            <b/>
            <sz val="9"/>
            <rFont val="宋体"/>
            <family val="3"/>
            <charset val="134"/>
          </rPr>
          <t>作者:
查看利息支付回单金额是否与企业利息支付汇总表一致</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500-000001000000}">
      <text>
        <r>
          <rPr>
            <b/>
            <sz val="9"/>
            <rFont val="宋体"/>
            <family val="3"/>
            <charset val="134"/>
          </rPr>
          <t>作者:
查看利息支付回单金额是否与企业利息支付汇总表一致</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600-000001000000}">
      <text>
        <r>
          <rPr>
            <b/>
            <sz val="9"/>
            <rFont val="宋体"/>
            <family val="3"/>
            <charset val="134"/>
          </rPr>
          <t>作者:
查看利息支付回单金额是否与企业利息支付汇总表一致</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700-000001000000}">
      <text>
        <r>
          <rPr>
            <b/>
            <sz val="9"/>
            <rFont val="宋体"/>
            <family val="3"/>
            <charset val="134"/>
          </rPr>
          <t>作者:
查看利息支付回单金额是否与企业利息支付汇总表一致</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800-000001000000}">
      <text>
        <r>
          <rPr>
            <b/>
            <sz val="9"/>
            <rFont val="宋体"/>
            <family val="3"/>
            <charset val="134"/>
          </rPr>
          <t>作者:
查看利息支付回单金额是否与企业利息支付汇总表一致</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900-000001000000}">
      <text>
        <r>
          <rPr>
            <b/>
            <sz val="9"/>
            <rFont val="宋体"/>
            <family val="3"/>
            <charset val="134"/>
          </rPr>
          <t>作者:
查看利息支付回单金额是否与企业利息支付汇总表一致</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A00-000001000000}">
      <text>
        <r>
          <rPr>
            <b/>
            <sz val="9"/>
            <rFont val="宋体"/>
            <family val="3"/>
            <charset val="134"/>
          </rPr>
          <t>作者:
查看利息支付回单金额是否与企业利息支付汇总表一致</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600-000001000000}">
      <text>
        <r>
          <rPr>
            <b/>
            <sz val="9"/>
            <rFont val="宋体"/>
            <family val="3"/>
            <charset val="134"/>
          </rPr>
          <t>作者:
查看利息支付回单金额是否与企业利息支付汇总表一致</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B00-000001000000}">
      <text>
        <r>
          <rPr>
            <b/>
            <sz val="9"/>
            <rFont val="宋体"/>
            <family val="3"/>
            <charset val="134"/>
          </rPr>
          <t>作者:
查看利息支付回单金额是否与企业利息支付汇总表一致</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C00-000001000000}">
      <text>
        <r>
          <rPr>
            <b/>
            <sz val="9"/>
            <rFont val="宋体"/>
            <family val="3"/>
            <charset val="134"/>
          </rPr>
          <t>作者:
查看利息支付回单金额是否与企业利息支付汇总表一致</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D00-000001000000}">
      <text>
        <r>
          <rPr>
            <b/>
            <sz val="9"/>
            <rFont val="宋体"/>
            <family val="3"/>
            <charset val="134"/>
          </rPr>
          <t>作者:
查看利息支付回单金额是否与企业利息支付汇总表一致</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E00-000001000000}">
      <text>
        <r>
          <rPr>
            <b/>
            <sz val="9"/>
            <rFont val="宋体"/>
            <family val="3"/>
            <charset val="134"/>
          </rPr>
          <t>作者:
查看利息支付回单金额是否与企业利息支付汇总表一致</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4F00-000001000000}">
      <text>
        <r>
          <rPr>
            <b/>
            <sz val="9"/>
            <rFont val="宋体"/>
            <family val="3"/>
            <charset val="134"/>
          </rPr>
          <t>作者:
查看利息支付回单金额是否与企业利息支付汇总表一致</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000-000001000000}">
      <text>
        <r>
          <rPr>
            <b/>
            <sz val="9"/>
            <rFont val="宋体"/>
            <family val="3"/>
            <charset val="134"/>
          </rPr>
          <t>作者:
查看利息支付回单金额是否与企业利息支付汇总表一致</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100-000001000000}">
      <text>
        <r>
          <rPr>
            <b/>
            <sz val="9"/>
            <rFont val="宋体"/>
            <family val="3"/>
            <charset val="134"/>
          </rPr>
          <t>作者:
查看利息支付回单金额是否与企业利息支付汇总表一致</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200-000001000000}">
      <text>
        <r>
          <rPr>
            <b/>
            <sz val="9"/>
            <rFont val="宋体"/>
            <family val="3"/>
            <charset val="134"/>
          </rPr>
          <t>作者:
查看利息支付回单金额是否与企业利息支付汇总表一致</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300-000001000000}">
      <text>
        <r>
          <rPr>
            <b/>
            <sz val="9"/>
            <rFont val="宋体"/>
            <family val="3"/>
            <charset val="134"/>
          </rPr>
          <t>作者:
查看利息支付回单金额是否与企业利息支付汇总表一致</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400-000001000000}">
      <text>
        <r>
          <rPr>
            <b/>
            <sz val="9"/>
            <rFont val="宋体"/>
            <family val="3"/>
            <charset val="134"/>
          </rPr>
          <t>作者:
查看利息支付回单金额是否与企业利息支付汇总表一致</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700-000001000000}">
      <text>
        <r>
          <rPr>
            <b/>
            <sz val="9"/>
            <rFont val="宋体"/>
            <family val="3"/>
            <charset val="134"/>
          </rPr>
          <t>作者:
查看利息支付回单金额是否与企业利息支付汇总表一致</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500-000001000000}">
      <text>
        <r>
          <rPr>
            <b/>
            <sz val="9"/>
            <rFont val="宋体"/>
            <family val="3"/>
            <charset val="134"/>
          </rPr>
          <t>作者:
查看利息支付回单金额是否与企业利息支付汇总表一致</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600-000001000000}">
      <text>
        <r>
          <rPr>
            <b/>
            <sz val="9"/>
            <rFont val="宋体"/>
            <family val="3"/>
            <charset val="134"/>
          </rPr>
          <t>作者:
查看利息支付回单金额是否与企业利息支付汇总表一致</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700-000001000000}">
      <text>
        <r>
          <rPr>
            <b/>
            <sz val="9"/>
            <rFont val="宋体"/>
            <family val="3"/>
            <charset val="134"/>
          </rPr>
          <t>作者:
查看利息支付回单金额是否与企业利息支付汇总表一致</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800-000001000000}">
      <text>
        <r>
          <rPr>
            <b/>
            <sz val="9"/>
            <rFont val="宋体"/>
            <family val="3"/>
            <charset val="134"/>
          </rPr>
          <t>作者:
查看利息支付回单金额是否与企业利息支付汇总表一致</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900-000001000000}">
      <text>
        <r>
          <rPr>
            <b/>
            <sz val="9"/>
            <rFont val="宋体"/>
            <family val="3"/>
            <charset val="134"/>
          </rPr>
          <t>作者:
查看利息支付回单金额是否与企业利息支付汇总表一致</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A00-000001000000}">
      <text>
        <r>
          <rPr>
            <b/>
            <sz val="9"/>
            <rFont val="宋体"/>
            <family val="3"/>
            <charset val="134"/>
          </rPr>
          <t>作者:
查看利息支付回单金额是否与企业利息支付汇总表一致</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B00-000001000000}">
      <text>
        <r>
          <rPr>
            <b/>
            <sz val="9"/>
            <rFont val="宋体"/>
            <family val="3"/>
            <charset val="134"/>
          </rPr>
          <t>作者:
查看利息支付回单金额是否与企业利息支付汇总表一致</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C00-000001000000}">
      <text>
        <r>
          <rPr>
            <b/>
            <sz val="9"/>
            <rFont val="宋体"/>
            <family val="3"/>
            <charset val="134"/>
          </rPr>
          <t>作者:
查看利息支付回单金额是否与企业利息支付汇总表一致</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D00-000001000000}">
      <text>
        <r>
          <rPr>
            <b/>
            <sz val="9"/>
            <rFont val="宋体"/>
            <family val="3"/>
            <charset val="134"/>
          </rPr>
          <t>作者:
查看利息支付回单金额是否与企业利息支付汇总表一致</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E00-000001000000}">
      <text>
        <r>
          <rPr>
            <b/>
            <sz val="9"/>
            <rFont val="宋体"/>
            <family val="3"/>
            <charset val="134"/>
          </rPr>
          <t>作者:
查看利息支付回单金额是否与企业利息支付汇总表一致</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0800-000001000000}">
      <text>
        <r>
          <rPr>
            <b/>
            <sz val="9"/>
            <rFont val="宋体"/>
            <family val="3"/>
            <charset val="134"/>
          </rPr>
          <t>作者:
查看利息支付回单金额是否与企业利息支付汇总表一致</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5F00-000001000000}">
      <text>
        <r>
          <rPr>
            <b/>
            <sz val="9"/>
            <rFont val="宋体"/>
            <family val="3"/>
            <charset val="134"/>
          </rPr>
          <t>作者:
查看利息支付回单金额是否与企业利息支付汇总表一致</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000-000001000000}">
      <text>
        <r>
          <rPr>
            <b/>
            <sz val="9"/>
            <rFont val="宋体"/>
            <family val="3"/>
            <charset val="134"/>
          </rPr>
          <t>作者:
查看利息支付回单金额是否与企业利息支付汇总表一致</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100-000001000000}">
      <text>
        <r>
          <rPr>
            <b/>
            <sz val="9"/>
            <rFont val="宋体"/>
            <family val="3"/>
            <charset val="134"/>
          </rPr>
          <t>作者:
查看利息支付回单金额是否与企业利息支付汇总表一致</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200-000001000000}">
      <text>
        <r>
          <rPr>
            <b/>
            <sz val="9"/>
            <rFont val="宋体"/>
            <family val="3"/>
            <charset val="134"/>
          </rPr>
          <t>作者:
查看利息支付回单金额是否与企业利息支付汇总表一致</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300-000001000000}">
      <text>
        <r>
          <rPr>
            <b/>
            <sz val="9"/>
            <rFont val="宋体"/>
            <family val="3"/>
            <charset val="134"/>
          </rPr>
          <t>作者:
查看利息支付回单金额是否与企业利息支付汇总表一致</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400-000001000000}">
      <text>
        <r>
          <rPr>
            <b/>
            <sz val="9"/>
            <rFont val="宋体"/>
            <family val="3"/>
            <charset val="134"/>
          </rPr>
          <t>作者:
查看利息支付回单金额是否与企业利息支付汇总表一致</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500-000001000000}">
      <text>
        <r>
          <rPr>
            <b/>
            <sz val="9"/>
            <rFont val="宋体"/>
            <family val="3"/>
            <charset val="134"/>
          </rPr>
          <t>作者:
查看利息支付回单金额是否与企业利息支付汇总表一致</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600-000001000000}">
      <text>
        <r>
          <rPr>
            <b/>
            <sz val="9"/>
            <rFont val="宋体"/>
            <family val="3"/>
            <charset val="134"/>
          </rPr>
          <t>作者:
查看利息支付回单金额是否与企业利息支付汇总表一致</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700-000001000000}">
      <text>
        <r>
          <rPr>
            <b/>
            <sz val="9"/>
            <rFont val="宋体"/>
            <family val="3"/>
            <charset val="134"/>
          </rPr>
          <t>作者:
查看利息支付回单金额是否与企业利息支付汇总表一致</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3" authorId="0" shapeId="0" xr:uid="{00000000-0006-0000-6800-000001000000}">
      <text>
        <r>
          <rPr>
            <b/>
            <sz val="9"/>
            <rFont val="宋体"/>
            <family val="3"/>
            <charset val="134"/>
          </rPr>
          <t>作者:
查看利息支付回单金额是否与企业利息支付汇总表一致</t>
        </r>
      </text>
    </comment>
  </commentList>
</comments>
</file>

<file path=xl/sharedStrings.xml><?xml version="1.0" encoding="utf-8"?>
<sst xmlns="http://schemas.openxmlformats.org/spreadsheetml/2006/main" count="12755" uniqueCount="1748">
  <si>
    <t>审计明细表</t>
  </si>
  <si>
    <t>序号</t>
  </si>
  <si>
    <r>
      <rPr>
        <sz val="9"/>
        <rFont val="SimHei"/>
        <family val="3"/>
      </rPr>
      <t>企业名称</t>
    </r>
  </si>
  <si>
    <t>注册机关</t>
  </si>
  <si>
    <t>统一社会信用代码</t>
  </si>
  <si>
    <t>企业性质</t>
  </si>
  <si>
    <t>税收解缴机关</t>
  </si>
  <si>
    <r>
      <rPr>
        <sz val="9"/>
        <rFont val="SimHei"/>
        <family val="3"/>
      </rPr>
      <t>收款账号</t>
    </r>
    <r>
      <rPr>
        <sz val="10"/>
        <rFont val="Yu Gothic"/>
        <family val="2"/>
        <charset val="128"/>
      </rPr>
      <t>（</t>
    </r>
    <r>
      <rPr>
        <sz val="9"/>
        <rFont val="SimHei"/>
        <family val="3"/>
      </rPr>
      <t>注明开户行</t>
    </r>
    <r>
      <rPr>
        <sz val="10"/>
        <rFont val="SimSun"/>
        <charset val="134"/>
      </rPr>
      <t>）</t>
    </r>
  </si>
  <si>
    <t>贷款产品</t>
  </si>
  <si>
    <r>
      <rPr>
        <sz val="9"/>
        <rFont val="SimHei"/>
        <family val="3"/>
      </rPr>
      <t>申报期间贷款情况</t>
    </r>
    <r>
      <rPr>
        <sz val="11"/>
        <color theme="1"/>
        <rFont val="等线"/>
        <family val="3"/>
        <charset val="134"/>
        <scheme val="minor"/>
      </rPr>
      <t>（和申报资料，原件核对，注意：平台数据有存在错误的情况）</t>
    </r>
  </si>
  <si>
    <t>审计情况：</t>
  </si>
  <si>
    <t>备注（说明平台上是否能查到，是否属于白名单企业）</t>
  </si>
  <si>
    <r>
      <rPr>
        <sz val="9"/>
        <rFont val="SimHei"/>
        <family val="3"/>
      </rPr>
      <t>贷款银行（</t>
    </r>
    <r>
      <rPr>
        <sz val="9"/>
        <rFont val="宋体"/>
        <family val="3"/>
        <charset val="134"/>
      </rPr>
      <t>明确到支行</t>
    </r>
    <r>
      <rPr>
        <sz val="9"/>
        <rFont val="SimHei"/>
        <family val="3"/>
      </rPr>
      <t>）</t>
    </r>
  </si>
  <si>
    <r>
      <rPr>
        <sz val="9"/>
        <rFont val="SimHei"/>
        <family val="3"/>
      </rPr>
      <t>贷款期限</t>
    </r>
  </si>
  <si>
    <t>贷款金额</t>
  </si>
  <si>
    <r>
      <rPr>
        <sz val="10"/>
        <rFont val="SimHei"/>
        <family val="3"/>
      </rPr>
      <t>借款合同号</t>
    </r>
  </si>
  <si>
    <r>
      <rPr>
        <sz val="10"/>
        <rFont val="SimHei"/>
        <family val="3"/>
      </rPr>
      <t>借据单号</t>
    </r>
  </si>
  <si>
    <t>起始日期</t>
  </si>
  <si>
    <t>截至日期</t>
  </si>
  <si>
    <t>支付利息天数</t>
  </si>
  <si>
    <t>支付利息金额</t>
  </si>
  <si>
    <t>申报补助金额</t>
  </si>
  <si>
    <t>审计核实利息日期</t>
  </si>
  <si>
    <t>审计核实并计算利息</t>
  </si>
  <si>
    <t>贷款利率</t>
  </si>
  <si>
    <t>分段计算</t>
  </si>
  <si>
    <t>是否提前还款</t>
  </si>
  <si>
    <t>贴息比例</t>
  </si>
  <si>
    <t>审计合格金额</t>
  </si>
  <si>
    <t>审减金额</t>
  </si>
  <si>
    <t>审减原因</t>
  </si>
  <si>
    <t>成都净蓝科技有限公司</t>
  </si>
  <si>
    <t>成都高新技术产业开发区市场监督管理局</t>
  </si>
  <si>
    <t>91510100075378753R</t>
  </si>
  <si>
    <t>私营企业</t>
  </si>
  <si>
    <t>国家税务总局成都高新技术产业开发区税务局</t>
  </si>
  <si>
    <t>4402235009100123919中国工商银行成都高新城南支行</t>
  </si>
  <si>
    <t>新e贷</t>
  </si>
  <si>
    <t>中国工商银行成都高新城南支行</t>
  </si>
  <si>
    <t>一年</t>
  </si>
  <si>
    <t>0440200055-2022年(高新)字02406号</t>
  </si>
  <si>
    <t>0440200055-2022年(信)字001538号</t>
  </si>
  <si>
    <t>否</t>
  </si>
  <si>
    <t>保留两位小数，计算尾差</t>
  </si>
  <si>
    <t>是，平台贷款利率与网银截图利率不一致（目前是按照网银截图利率计算）</t>
  </si>
  <si>
    <t>无借据，网银截图</t>
  </si>
  <si>
    <t>0440200055-2022年(高新)字02404号</t>
  </si>
  <si>
    <t>0440200055-2022年(信)字001535号</t>
  </si>
  <si>
    <t>合计</t>
  </si>
  <si>
    <t>试算</t>
  </si>
  <si>
    <t>错</t>
  </si>
  <si>
    <t>成都锐思环保技术股份有限公司</t>
  </si>
  <si>
    <t>成都市市场监督管理局</t>
  </si>
  <si>
    <t>915101007130802905</t>
  </si>
  <si>
    <t>股份有限公司</t>
  </si>
  <si>
    <t>129343209717（中国银行股份有限公司成都锦城支行）</t>
  </si>
  <si>
    <t>新易贷惠业</t>
  </si>
  <si>
    <t>中国民生银行股份有限公司成都分行</t>
  </si>
  <si>
    <t>1年</t>
  </si>
  <si>
    <t>公流贷字第ZX22000000402404号</t>
  </si>
  <si>
    <t>ZX22000000402404</t>
  </si>
  <si>
    <t>是</t>
  </si>
  <si>
    <t>327天</t>
  </si>
  <si>
    <t>公流贷字第ZX22000000412530号</t>
  </si>
  <si>
    <t>ZX22000000412530</t>
  </si>
  <si>
    <t>新易贷•惠业</t>
  </si>
  <si>
    <t>24月</t>
  </si>
  <si>
    <t>四川新荷花中药饮片股份有限公司</t>
  </si>
  <si>
    <t>91510100734795009L</t>
  </si>
  <si>
    <t>高新区税务局</t>
  </si>
  <si>
    <t>成都银行金牛支行</t>
  </si>
  <si>
    <t>新易贷·惠业</t>
  </si>
  <si>
    <t>成都银行</t>
  </si>
  <si>
    <t>12个月</t>
  </si>
  <si>
    <t>H200101230626467</t>
  </si>
  <si>
    <t>J200101230626467001</t>
  </si>
  <si>
    <t>成都纵横大鹏无人机科技有限公司</t>
  </si>
  <si>
    <t>91510122MA61RK0C98</t>
  </si>
  <si>
    <t>民营企业</t>
  </si>
  <si>
    <t>中国工商银行成都府河音乐花园支行4402 9391 0910 0038 764</t>
  </si>
  <si>
    <t>成都银行股份有限公司青羊支行</t>
  </si>
  <si>
    <t>H510701230626820</t>
  </si>
  <si>
    <t>J510701230626820001</t>
  </si>
  <si>
    <t>中国民生银行股份有限公司成都支行</t>
  </si>
  <si>
    <t>2年</t>
  </si>
  <si>
    <t>公流贷字第ZX23090000429479号</t>
  </si>
  <si>
    <t>ZX23090000429479</t>
  </si>
  <si>
    <t>平台显示：不成功，根据合同号未匹配到审核通过的产品备案</t>
  </si>
  <si>
    <t>成都恒成工具股份有限公司</t>
  </si>
  <si>
    <t>91510100720333057H</t>
  </si>
  <si>
    <t>其他股份有限公司</t>
  </si>
  <si>
    <t>成都市高新区税务局</t>
  </si>
  <si>
    <t>中国建设银行成都益州支行51001416181059000011</t>
  </si>
  <si>
    <t>成都农商银行簇桥支行</t>
  </si>
  <si>
    <t>成农商簇一公流借20230042</t>
  </si>
  <si>
    <t>110020000280569</t>
  </si>
  <si>
    <t>成农商簇一公流借20230043</t>
  </si>
  <si>
    <t>110030000280738</t>
  </si>
  <si>
    <t>成都瀚德科技有限公司</t>
  </si>
  <si>
    <t>成都高新市场监管局</t>
  </si>
  <si>
    <t>91510100693667819J</t>
  </si>
  <si>
    <t>民营</t>
  </si>
  <si>
    <t>4402235009100078721 工行成都城南支行</t>
  </si>
  <si>
    <t>工商银行</t>
  </si>
  <si>
    <t>340天</t>
  </si>
  <si>
    <t>0440200077-2022年(双流)字01564号</t>
  </si>
  <si>
    <t>0440200077-2022年(信)字001087号</t>
  </si>
  <si>
    <r>
      <rPr>
        <sz val="11"/>
        <color theme="1"/>
        <rFont val="等线"/>
        <family val="3"/>
        <charset val="134"/>
        <scheme val="minor"/>
      </rPr>
      <t>是，2</t>
    </r>
    <r>
      <rPr>
        <sz val="11"/>
        <color theme="1"/>
        <rFont val="等线"/>
        <family val="3"/>
        <charset val="134"/>
        <scheme val="minor"/>
      </rPr>
      <t>023-9-18提前还款450万元</t>
    </r>
  </si>
  <si>
    <t>提前还款</t>
  </si>
  <si>
    <t>365天</t>
  </si>
  <si>
    <t>0440200077-2022年(抵)字001288号</t>
  </si>
  <si>
    <t>2023年11月在高新通平台申请490万贷款的利息补贴(2022年7月-2022年12月期间的利息，目前状态为初审中）承诺书</t>
  </si>
  <si>
    <t>无借据，只有网银截图</t>
  </si>
  <si>
    <t>四川携光生物技术有限公司</t>
  </si>
  <si>
    <t>91510100MA6C9EGJ37</t>
  </si>
  <si>
    <t>51050148853609111106（中国建设银行成都白果林支行）</t>
  </si>
  <si>
    <t>中国建设银行股份有限公司成都第八支行</t>
  </si>
  <si>
    <t>2023BGL短期工流001号</t>
  </si>
  <si>
    <t>10132285</t>
  </si>
  <si>
    <t>平台显示不成功，未匹配到有效数据</t>
  </si>
  <si>
    <t>成都前锋电子有限责任公司</t>
  </si>
  <si>
    <t>其他有限责任公司</t>
  </si>
  <si>
    <t>2010150134080016258上海浦东发展银行股份有限公司成都分行</t>
  </si>
  <si>
    <t>成都银行股份有限公司</t>
  </si>
  <si>
    <t>H340101230506520</t>
  </si>
  <si>
    <t>J340101230506520001</t>
  </si>
  <si>
    <t>发生日期以银行借据发生日期为准</t>
  </si>
  <si>
    <t>四川赛狄信息技术股份公司</t>
  </si>
  <si>
    <t>9151000066028378XC</t>
  </si>
  <si>
    <t>工商银行成都高新西部园区支行营业室</t>
  </si>
  <si>
    <t>新易贷.惠业</t>
  </si>
  <si>
    <t>中国民生银行成都分行</t>
  </si>
  <si>
    <t>公流贷字第ZX22000000409079号</t>
  </si>
  <si>
    <t>ZX22000000409079</t>
  </si>
  <si>
    <t>公流贷字第ZX22000000411289号</t>
  </si>
  <si>
    <t>ZX22000000411289</t>
  </si>
  <si>
    <r>
      <rPr>
        <sz val="11"/>
        <color theme="1"/>
        <rFont val="等线"/>
        <family val="3"/>
        <charset val="134"/>
        <scheme val="minor"/>
      </rPr>
      <t>是，2</t>
    </r>
    <r>
      <rPr>
        <sz val="11"/>
        <color theme="1"/>
        <rFont val="等线"/>
        <family val="3"/>
        <charset val="134"/>
        <scheme val="minor"/>
      </rPr>
      <t>023-10-27，提前还款499万元</t>
    </r>
  </si>
  <si>
    <t>两年</t>
  </si>
  <si>
    <t>公流贷字第ZX22000000415634号</t>
  </si>
  <si>
    <t>ZX22000000415634</t>
  </si>
  <si>
    <t>是，2023-11-23提前还款100万元</t>
  </si>
  <si>
    <t>公流贷字第ZX22000000422132号</t>
  </si>
  <si>
    <t>ZX22000000422132</t>
  </si>
  <si>
    <r>
      <rPr>
        <sz val="11"/>
        <color theme="1"/>
        <rFont val="等线"/>
        <family val="3"/>
        <charset val="134"/>
        <scheme val="minor"/>
      </rPr>
      <t>是，2</t>
    </r>
    <r>
      <rPr>
        <sz val="11"/>
        <color theme="1"/>
        <rFont val="等线"/>
        <family val="3"/>
        <charset val="134"/>
        <scheme val="minor"/>
      </rPr>
      <t>023-12-27提前还款100万元</t>
    </r>
  </si>
  <si>
    <t>四川泰猷科技有限公司</t>
  </si>
  <si>
    <t>91510100MA61RR7JXK</t>
  </si>
  <si>
    <t>有限责任公司</t>
  </si>
  <si>
    <t>51050142624200000036(中国建设银行股份有限公司成都天府新谷支行)</t>
  </si>
  <si>
    <t>成都银行股份有限公司科技支行</t>
  </si>
  <si>
    <r>
      <rPr>
        <sz val="11"/>
        <color theme="1"/>
        <rFont val="等线"/>
        <family val="3"/>
        <charset val="134"/>
        <scheme val="minor"/>
      </rPr>
      <t>H</t>
    </r>
    <r>
      <rPr>
        <sz val="11"/>
        <color theme="1"/>
        <rFont val="等线"/>
        <family val="3"/>
        <charset val="134"/>
        <scheme val="minor"/>
      </rPr>
      <t>180401221128560</t>
    </r>
  </si>
  <si>
    <r>
      <rPr>
        <sz val="11"/>
        <color theme="1"/>
        <rFont val="等线"/>
        <family val="3"/>
        <charset val="134"/>
        <scheme val="minor"/>
      </rPr>
      <t>J</t>
    </r>
    <r>
      <rPr>
        <sz val="11"/>
        <color theme="1"/>
        <rFont val="等线"/>
        <family val="3"/>
        <charset val="134"/>
        <scheme val="minor"/>
      </rPr>
      <t>180401221128560001</t>
    </r>
  </si>
  <si>
    <t>重复申报</t>
  </si>
  <si>
    <t>成都天奥信息科技有限公司</t>
  </si>
  <si>
    <t>91510100777 4980128</t>
  </si>
  <si>
    <t>成都高新技术产业开发区税务局</t>
  </si>
  <si>
    <t>51001416146059666888                     建设银行成都茶店子支行</t>
  </si>
  <si>
    <t>新易贷·培优</t>
  </si>
  <si>
    <t>工商银行成都金牛支行</t>
  </si>
  <si>
    <t>0440200059-2023年(金牛)字03788号</t>
  </si>
  <si>
    <t>0440200059-2023年（借）字002708号</t>
  </si>
  <si>
    <t>截至日期填列错误</t>
  </si>
  <si>
    <t>平台显示：不成功，不满足上报条件</t>
  </si>
  <si>
    <t>银行回单上借据单号：00020000164682410</t>
  </si>
  <si>
    <t>成都国恒空间技术工程股份有限公司</t>
  </si>
  <si>
    <t>91510100790008903N</t>
  </si>
  <si>
    <t>小型企业</t>
  </si>
  <si>
    <t>633322769中国民生银行股份有限公司成都分行</t>
  </si>
  <si>
    <t>成都银行股份有限公司高新支行</t>
  </si>
  <si>
    <t>12月</t>
  </si>
  <si>
    <t>H200101230712780</t>
  </si>
  <si>
    <t>J200101230712780001</t>
  </si>
  <si>
    <t>四川盛玖源环境工程有限公司</t>
  </si>
  <si>
    <t>91510100MA62Q8150A</t>
  </si>
  <si>
    <t>122611954032中国银行成都东电支行</t>
  </si>
  <si>
    <t>中国银行成都东电支行</t>
  </si>
  <si>
    <t>2023年开流贷字(501)119号</t>
  </si>
  <si>
    <t>2023年开流贷字（501）119号</t>
  </si>
  <si>
    <t>本次补贴计算截止日期不超过2023年12月31日</t>
  </si>
  <si>
    <t>平台显示：不成功，未匹配到有效数据</t>
  </si>
  <si>
    <t>成都锐成芯微科技股份有限公司</t>
  </si>
  <si>
    <t>915101005875590800</t>
  </si>
  <si>
    <t>民营股份有限公司</t>
  </si>
  <si>
    <t>中国工商银行股份有限公司成都草市支行</t>
  </si>
  <si>
    <t>公流贷字第ZX23040000269498号</t>
  </si>
  <si>
    <t>ZX23040000269498</t>
  </si>
  <si>
    <t>四川赛康智能科技股份有限公司</t>
  </si>
  <si>
    <t>成都高新区市场监督管理局</t>
  </si>
  <si>
    <t>9151007528151223</t>
  </si>
  <si>
    <t>成都银行股份有限公司科技支行1001300000216171</t>
  </si>
  <si>
    <t>成都农村商业银行股份有限公司龙泉驿西河支行</t>
  </si>
  <si>
    <t>成农商驿西公流借20230003</t>
  </si>
  <si>
    <t>110050000256643</t>
  </si>
  <si>
    <t>成都硅宝科技股份有限公司</t>
  </si>
  <si>
    <t>91510100713042497M</t>
  </si>
  <si>
    <t>私营股份有限公司</t>
  </si>
  <si>
    <t>44029220009022503458中国工商银行股份有限公司成都永丰路支行</t>
  </si>
  <si>
    <t>成都农商行武侯支行</t>
  </si>
  <si>
    <t>成农商武公流借20220096</t>
  </si>
  <si>
    <t>110080000209749</t>
  </si>
  <si>
    <t>成都锐芯盛通电子科技有限公司</t>
  </si>
  <si>
    <t>91510100394481221U</t>
  </si>
  <si>
    <t>成都高新区税务局</t>
  </si>
  <si>
    <t>51001488561052504587开户银行:中国建设银行股份有限公司成都龙腾路支行</t>
  </si>
  <si>
    <t>H180401230704340</t>
  </si>
  <si>
    <t>J180401230704340001</t>
  </si>
  <si>
    <t>成都瑞隆祥科技有限公司</t>
  </si>
  <si>
    <t>91510100MA61T33473</t>
  </si>
  <si>
    <t>有限责任公司(自然人投资或控股)</t>
  </si>
  <si>
    <t>4402243409100038006（开户行：中国工商银行股份有限公司成都金牛支行一品天下分理处）</t>
  </si>
  <si>
    <t>中国工商银行股份有限公司成都金牛支行</t>
  </si>
  <si>
    <t>30天</t>
  </si>
  <si>
    <t>0440200059-2022年(金牛)字03286号</t>
  </si>
  <si>
    <t>0440200059-2022年(信)字002189号</t>
  </si>
  <si>
    <t>无借据，只有网上银行页面</t>
  </si>
  <si>
    <t>180天</t>
  </si>
  <si>
    <t>0440200059-2022年(金牛)字04159号</t>
  </si>
  <si>
    <t>0440200059-2022年(信)字002748号</t>
  </si>
  <si>
    <t>0440200059-2022年(金牛)字04160号</t>
  </si>
  <si>
    <t>0440200059-2022年(信)字002749号</t>
  </si>
  <si>
    <t>0440200059-2022年(金牛)字04379号</t>
  </si>
  <si>
    <t>0440200059-2022年(信)字002888号</t>
  </si>
  <si>
    <t>0440200059-2022年(金牛)字04447号</t>
  </si>
  <si>
    <t>0440200059-2022年(信)字002942号</t>
  </si>
  <si>
    <t>成都正升能源技术开发有限公司</t>
  </si>
  <si>
    <t>成都市高新区市场监督管理局</t>
  </si>
  <si>
    <t>91510100572269734X</t>
  </si>
  <si>
    <t>私营</t>
  </si>
  <si>
    <t>中国银行成都万科支行119863706389</t>
  </si>
  <si>
    <t>18个月</t>
  </si>
  <si>
    <t>成农商簇一公流借20230025</t>
  </si>
  <si>
    <t>110090000262265</t>
  </si>
  <si>
    <t>成都恩沐生物科技有限公司</t>
  </si>
  <si>
    <t>成都高新技术产业开发区</t>
  </si>
  <si>
    <t>91510100MA61WUE12U</t>
  </si>
  <si>
    <t>51050148850800001127   建设银行成都第八支行</t>
  </si>
  <si>
    <t>510010715657889220</t>
  </si>
  <si>
    <t>51000170816PPP704XV</t>
  </si>
  <si>
    <t>成都星联芯通科技有限公司</t>
  </si>
  <si>
    <t>高新区</t>
  </si>
  <si>
    <t>91510100331925075E</t>
  </si>
  <si>
    <r>
      <rPr>
        <sz val="11"/>
        <color theme="1"/>
        <rFont val="等线"/>
        <family val="3"/>
        <charset val="134"/>
        <scheme val="minor"/>
      </rPr>
      <t>4</t>
    </r>
    <r>
      <rPr>
        <sz val="11"/>
        <color theme="1"/>
        <rFont val="等线"/>
        <family val="3"/>
        <charset val="134"/>
        <scheme val="minor"/>
      </rPr>
      <t>402275219100024845</t>
    </r>
  </si>
  <si>
    <t>成都银行股份有限公司武侯支行</t>
  </si>
  <si>
    <t>H170101230109160</t>
  </si>
  <si>
    <t>J170101230109160001</t>
  </si>
  <si>
    <t>成都云智北斗科技有限公司</t>
  </si>
  <si>
    <t>91510104MA641HUQ75</t>
  </si>
  <si>
    <t>有限责任公司（自然人投资或控股）</t>
  </si>
  <si>
    <t>1001300000935932（行号：313651031011）</t>
  </si>
  <si>
    <t>成都银行华兴支行</t>
  </si>
  <si>
    <t>H310101230505060</t>
  </si>
  <si>
    <t>J310101230505060001</t>
  </si>
  <si>
    <t>四川省西点能源有限公司</t>
  </si>
  <si>
    <t>成都高新技术产业开发区税务局第二税务所</t>
  </si>
  <si>
    <t>6510000010120100518805浙商银行股份有限公司成都分行</t>
  </si>
  <si>
    <t>H510701221220680</t>
  </si>
  <si>
    <t>J510701221220680001</t>
  </si>
  <si>
    <t>成都思越智能装备股份有限公司</t>
  </si>
  <si>
    <t>91510100MA6CDAY97U</t>
  </si>
  <si>
    <t>成都高新税务局</t>
  </si>
  <si>
    <t>中国银行郫都汉正广场支行  12125718 1169</t>
  </si>
  <si>
    <t>成都银行西区支行</t>
  </si>
  <si>
    <t>H340101221208703</t>
  </si>
  <si>
    <t>J340101221208703001</t>
  </si>
  <si>
    <r>
      <rPr>
        <sz val="11"/>
        <color theme="1"/>
        <rFont val="等线"/>
        <family val="3"/>
        <charset val="134"/>
        <scheme val="minor"/>
      </rPr>
      <t>是，2</t>
    </r>
    <r>
      <rPr>
        <sz val="11"/>
        <color theme="1"/>
        <rFont val="等线"/>
        <family val="3"/>
        <charset val="134"/>
        <scheme val="minor"/>
      </rPr>
      <t>023-10-24提前还款700万元</t>
    </r>
  </si>
  <si>
    <t>J340101221208703002</t>
  </si>
  <si>
    <r>
      <rPr>
        <sz val="11"/>
        <color theme="1"/>
        <rFont val="等线"/>
        <family val="3"/>
        <charset val="134"/>
        <scheme val="minor"/>
      </rPr>
      <t>是，2023-10-24提前还款</t>
    </r>
    <r>
      <rPr>
        <sz val="11"/>
        <color theme="1"/>
        <rFont val="等线"/>
        <family val="3"/>
        <charset val="134"/>
        <scheme val="minor"/>
      </rPr>
      <t>3</t>
    </r>
    <r>
      <rPr>
        <sz val="11"/>
        <color theme="1"/>
        <rFont val="等线"/>
        <family val="3"/>
        <charset val="134"/>
        <scheme val="minor"/>
      </rPr>
      <t>00万元</t>
    </r>
  </si>
  <si>
    <t>成都富元辰科技有限公司</t>
  </si>
  <si>
    <t>91510100MA61XWLW1M</t>
  </si>
  <si>
    <t>成都高新区税务局西园税务所</t>
  </si>
  <si>
    <t>1001300000892336（成都银行八里庄支行）</t>
  </si>
  <si>
    <t>H060101221205480</t>
  </si>
  <si>
    <t>J060101221205480001</t>
  </si>
  <si>
    <t>起始日期以银行借据发生日期为准</t>
  </si>
  <si>
    <t>H060101230630065</t>
  </si>
  <si>
    <t>J060101230630065001</t>
  </si>
  <si>
    <t>成都戎星科技有限公司</t>
  </si>
  <si>
    <t>91510100343121066D</t>
  </si>
  <si>
    <t>成都高新区税务局第二税务所</t>
  </si>
  <si>
    <t>成都银行武侯新城支行</t>
  </si>
  <si>
    <t>兴业银行</t>
  </si>
  <si>
    <t>兴银蓉（贷）2308第07757号</t>
  </si>
  <si>
    <r>
      <rPr>
        <sz val="11"/>
        <color theme="1"/>
        <rFont val="等线"/>
        <family val="3"/>
        <charset val="134"/>
        <scheme val="minor"/>
      </rPr>
      <t>431260100300060297、</t>
    </r>
    <r>
      <rPr>
        <sz val="11"/>
        <color theme="1"/>
        <rFont val="等线"/>
        <family val="3"/>
        <charset val="134"/>
        <scheme val="minor"/>
      </rPr>
      <t>431260100300060176</t>
    </r>
  </si>
  <si>
    <t>成都路维光电有限公司</t>
  </si>
  <si>
    <t>91510100MA6CR2PD7B</t>
  </si>
  <si>
    <t>22808801040022548（中国农业银行成都高新技术产业开发区支行）</t>
  </si>
  <si>
    <t>成都银行科技支行</t>
  </si>
  <si>
    <t>H180401231012543</t>
  </si>
  <si>
    <t>J180401231012543001</t>
  </si>
  <si>
    <t>成都中科华微电子有限公司</t>
  </si>
  <si>
    <t>成都高新区</t>
  </si>
  <si>
    <t>91510100394287808P</t>
  </si>
  <si>
    <t>国家税务总局成都高新技术产业开发区税务局第二税务所</t>
  </si>
  <si>
    <t>1000050006624989（成都农商银行西区支行）</t>
  </si>
  <si>
    <t>成都农村商业银行股份有限公司西区支行</t>
  </si>
  <si>
    <t>24个月</t>
  </si>
  <si>
    <t>成农商西营公流借20220012</t>
  </si>
  <si>
    <t>00840477、00838955</t>
  </si>
  <si>
    <t>是，部分还款2023-6-10提前还款25万元，2023-12-10提前还款25万元</t>
  </si>
  <si>
    <r>
      <rPr>
        <sz val="11"/>
        <color theme="1"/>
        <rFont val="等线"/>
        <family val="3"/>
        <charset val="134"/>
        <scheme val="minor"/>
      </rPr>
      <t>是，2条合成</t>
    </r>
    <r>
      <rPr>
        <sz val="11"/>
        <color theme="1"/>
        <rFont val="等线"/>
        <family val="3"/>
        <charset val="134"/>
        <scheme val="minor"/>
      </rPr>
      <t>1笔申报</t>
    </r>
  </si>
  <si>
    <t>平台借据号：110030000218572、110050000212828</t>
  </si>
  <si>
    <t>00840477</t>
  </si>
  <si>
    <t>四川图林科技有限责任公司</t>
  </si>
  <si>
    <t>91510000791828903U</t>
  </si>
  <si>
    <t>私营有限责任公司</t>
  </si>
  <si>
    <t>中国光大银行成都蜀汉路支行39870188000019337</t>
  </si>
  <si>
    <t>成都农商行商业城支行</t>
  </si>
  <si>
    <t>13个月</t>
  </si>
  <si>
    <t>成农商武公流借20230077</t>
  </si>
  <si>
    <r>
      <rPr>
        <sz val="11"/>
        <color theme="1"/>
        <rFont val="等线"/>
        <family val="3"/>
        <charset val="134"/>
        <scheme val="minor"/>
      </rPr>
      <t>110090000290584、</t>
    </r>
    <r>
      <rPr>
        <sz val="11"/>
        <color theme="1"/>
        <rFont val="等线"/>
        <family val="3"/>
        <charset val="134"/>
        <scheme val="minor"/>
      </rPr>
      <t>110050000290010、110030000288273、110060000285664、110070000284094、110040000279386</t>
    </r>
  </si>
  <si>
    <t>成都成电光信科技股份有限公司</t>
  </si>
  <si>
    <t>9151010057463511XR</t>
  </si>
  <si>
    <t>1001300000746815（成都银行股份有限公司西区支行）</t>
  </si>
  <si>
    <t>H340101230106420</t>
  </si>
  <si>
    <t>J340101230106420001</t>
  </si>
  <si>
    <t>民生银行</t>
  </si>
  <si>
    <t>公流贷字第ZH2200000149777号</t>
  </si>
  <si>
    <t>9922000000047574</t>
  </si>
  <si>
    <t>是，2023-11-29提前还款25万元（平台未显示有还款）</t>
  </si>
  <si>
    <t>此笔应该有还款</t>
  </si>
  <si>
    <t>公流贷字第ZH2200000150617号</t>
  </si>
  <si>
    <t>9922000000047807</t>
  </si>
  <si>
    <t>是，2023-12-5提前还款25万元（平台未显示有还款）</t>
  </si>
  <si>
    <t>公流贷字第ZH2200000152386号</t>
  </si>
  <si>
    <t>9922000000050597</t>
  </si>
  <si>
    <t xml:space="preserve">否 </t>
  </si>
  <si>
    <t>成都迪真计算机科技有限公司</t>
  </si>
  <si>
    <t>91510100327426521N</t>
  </si>
  <si>
    <t>高新税务局</t>
  </si>
  <si>
    <t>4402203009100220530中国工商银行股份有限公司成都红牌楼支行</t>
  </si>
  <si>
    <t>510010715657833722</t>
  </si>
  <si>
    <t>51000170816PPAD28VJ</t>
  </si>
  <si>
    <t>迪威弗智能装备集团有限公司</t>
  </si>
  <si>
    <t>91510100MA6AQHFC9J</t>
  </si>
  <si>
    <t>开户行：中信银行光华支行</t>
  </si>
  <si>
    <t>中国银行</t>
  </si>
  <si>
    <t>2023年中青中小借字116号</t>
  </si>
  <si>
    <t>平台显示：匹配不成功，未匹配到有效数据</t>
  </si>
  <si>
    <t>2023年中青中小借字117号</t>
  </si>
  <si>
    <t>无借据，平台也无借据</t>
  </si>
  <si>
    <t>成都华栖云科技有限公司</t>
  </si>
  <si>
    <t>91510100MA61X50Q56</t>
  </si>
  <si>
    <t>22808801040020732（中国农业银行成都高新技术产业开发区支行）</t>
  </si>
  <si>
    <t>成都农村商业银行股份有限公司高新支行</t>
  </si>
  <si>
    <t>2022年12月29日至2023年12月28日</t>
  </si>
  <si>
    <t>成农商高营公流借20220156</t>
  </si>
  <si>
    <r>
      <rPr>
        <sz val="11"/>
        <color theme="1"/>
        <rFont val="等线"/>
        <family val="3"/>
        <charset val="134"/>
        <scheme val="minor"/>
      </rPr>
      <t>110030000214946、</t>
    </r>
    <r>
      <rPr>
        <sz val="11"/>
        <color theme="1"/>
        <rFont val="等线"/>
        <family val="3"/>
        <charset val="134"/>
        <scheme val="minor"/>
      </rPr>
      <t>110010000214947</t>
    </r>
  </si>
  <si>
    <t>是，2023-12-27提前还款550万元</t>
  </si>
  <si>
    <t>成农商高营公流借20220155</t>
  </si>
  <si>
    <t>110090000214948</t>
  </si>
  <si>
    <t>是，2023-12-27提前还款500万元</t>
  </si>
  <si>
    <t>四川安迪科技实业有限公司</t>
  </si>
  <si>
    <t>91510100720357323F</t>
  </si>
  <si>
    <t>22801501040022053 （农业银行成都府青路支行）</t>
  </si>
  <si>
    <t>H310101221124582</t>
  </si>
  <si>
    <t>H310101221124582001</t>
  </si>
  <si>
    <t>成都汇辙科技有限公司</t>
  </si>
  <si>
    <t>91510100MA6CAUPX43</t>
  </si>
  <si>
    <t>收款账号：03003551497  开户行：    上海银行成都高新支行</t>
  </si>
  <si>
    <t>H310101230529220</t>
  </si>
  <si>
    <t>J310101230529220001</t>
  </si>
  <si>
    <t>H310101230531240</t>
  </si>
  <si>
    <t>J310101230531240001</t>
  </si>
  <si>
    <t>成都瑞迪威科技有限公司</t>
  </si>
  <si>
    <t>9151010009831180XG</t>
  </si>
  <si>
    <t>中国建设银行股份有限公司成都第九支行（51001498408051528901）</t>
  </si>
  <si>
    <t>壹年</t>
  </si>
  <si>
    <t>H200101221123160</t>
  </si>
  <si>
    <t>J200101221123160001</t>
  </si>
  <si>
    <t>是，2023-3-6提前还款500万元</t>
  </si>
  <si>
    <t>公流贷字第ZH2200000148730号</t>
  </si>
  <si>
    <t>9922000000047334</t>
  </si>
  <si>
    <t>成都星云智联科技有限公司</t>
  </si>
  <si>
    <t>91510100582616760L</t>
  </si>
  <si>
    <t>国有</t>
  </si>
  <si>
    <t>51001885136051502905（中国建设银行股份有限公司成都沙湾支行</t>
  </si>
  <si>
    <t>成都银行营业部</t>
  </si>
  <si>
    <t>H010101230627620</t>
  </si>
  <si>
    <t>J010101230627620001</t>
  </si>
  <si>
    <t>成都明夷电子科技股份有限公司</t>
  </si>
  <si>
    <t>91510100MA61R5XP4P</t>
  </si>
  <si>
    <t>其他股份有限公司(非上市)</t>
  </si>
  <si>
    <t>1001300000717987（成都银行科技支行）</t>
  </si>
  <si>
    <t>H180401221226080</t>
  </si>
  <si>
    <t>J180401221226080001</t>
  </si>
  <si>
    <t>此笔借款申报了知识产权质押融资资助项目,正在受理阶段承诺放弃新易贷补贴</t>
  </si>
  <si>
    <t>是，曾用名：成都明夷电子科技有限公司</t>
  </si>
  <si>
    <t>成农商高营公流借20230090</t>
  </si>
  <si>
    <r>
      <rPr>
        <sz val="11"/>
        <color theme="1"/>
        <rFont val="等线"/>
        <family val="3"/>
        <charset val="134"/>
        <scheme val="minor"/>
      </rPr>
      <t>0</t>
    </r>
    <r>
      <rPr>
        <sz val="11"/>
        <color theme="1"/>
        <rFont val="等线"/>
        <family val="3"/>
        <charset val="134"/>
        <scheme val="minor"/>
      </rPr>
      <t>0957239</t>
    </r>
  </si>
  <si>
    <r>
      <rPr>
        <sz val="11"/>
        <color theme="1"/>
        <rFont val="等线"/>
        <family val="3"/>
        <charset val="134"/>
        <scheme val="minor"/>
      </rPr>
      <t>0</t>
    </r>
    <r>
      <rPr>
        <sz val="11"/>
        <color theme="1"/>
        <rFont val="等线"/>
        <family val="3"/>
        <charset val="134"/>
        <scheme val="minor"/>
      </rPr>
      <t>0957238</t>
    </r>
  </si>
  <si>
    <t>成都国星宇航科技股份有限公司</t>
  </si>
  <si>
    <t>91510122MA6CEC3QX8</t>
  </si>
  <si>
    <t>511511300013002287482交通银行成都双流分行</t>
  </si>
  <si>
    <t>H340101230331320</t>
  </si>
  <si>
    <t>J340101230331320001</t>
  </si>
  <si>
    <t>成都汉度科技有限公司</t>
  </si>
  <si>
    <t>91510100054913286C</t>
  </si>
  <si>
    <t>4402211109100030608（中国工商银行股份有限公司成都鹭岛支行）</t>
  </si>
  <si>
    <t>中国工商银行股份有限公司成都滨江支行</t>
  </si>
  <si>
    <t>0440200050-2023年(滨江)字02905号</t>
  </si>
  <si>
    <t>0440200050-2023年（借）字002085号</t>
  </si>
  <si>
    <t>成都宜泊信息科技有限公司</t>
  </si>
  <si>
    <t>91510100343030842A</t>
  </si>
  <si>
    <t>中小企业</t>
  </si>
  <si>
    <t>成都市高新区</t>
  </si>
  <si>
    <t>1001300000414084（成都银行南城支行</t>
  </si>
  <si>
    <t>中国银行股份有限公司成都开发西区支行</t>
  </si>
  <si>
    <t>2023年开流贷字（501）132号</t>
  </si>
  <si>
    <t>四川新科电子技术工程有限责任公司</t>
  </si>
  <si>
    <t>高新区市场监督管理局</t>
  </si>
  <si>
    <t>915100002018791549</t>
  </si>
  <si>
    <t>51001458208050034784（中国建设银行股份有限公司成都第五支行）</t>
  </si>
  <si>
    <t>成都银行青羊支行</t>
  </si>
  <si>
    <t>H510701221110120</t>
  </si>
  <si>
    <t>J510701221110120001</t>
  </si>
  <si>
    <t>发生日期以银行借据日期为准</t>
  </si>
  <si>
    <t>H510701221227843</t>
  </si>
  <si>
    <t>J510701221227843001</t>
  </si>
  <si>
    <t>是，2023-12-19提前还款650万元</t>
  </si>
  <si>
    <t>四川金信石信息技术有限公司</t>
  </si>
  <si>
    <t>91510100562012046W</t>
  </si>
  <si>
    <t>1001300000715090成都银行交大路支行</t>
  </si>
  <si>
    <t>成都农村商业银行股份有限公司东部新区支行</t>
  </si>
  <si>
    <t>成农商东公流借20220009</t>
  </si>
  <si>
    <t>00784494</t>
  </si>
  <si>
    <t>是，2023-12-28提前还款500万元</t>
  </si>
  <si>
    <t>平台借据号：110080000217462</t>
  </si>
  <si>
    <t>成都天马微电子有限公司</t>
  </si>
  <si>
    <t>成都市高新技术产业开发区市场监督管理局</t>
  </si>
  <si>
    <t>9151010067966155X9</t>
  </si>
  <si>
    <t>4402254719100095764中国工商银行股份有限公司成都郫都鹃城支行</t>
  </si>
  <si>
    <t>新易贷培优</t>
  </si>
  <si>
    <t>中国工商银行股份有限公司成都郫都支行</t>
  </si>
  <si>
    <t>3年</t>
  </si>
  <si>
    <t>0440200544-2023年（郫县）字02341号</t>
  </si>
  <si>
    <r>
      <rPr>
        <sz val="11"/>
        <color theme="1"/>
        <rFont val="等线"/>
        <family val="3"/>
        <charset val="134"/>
        <scheme val="minor"/>
      </rPr>
      <t>0440200544-2023年（借）字002004号、</t>
    </r>
    <r>
      <rPr>
        <sz val="11"/>
        <color theme="1"/>
        <rFont val="等线"/>
        <family val="3"/>
        <charset val="134"/>
        <scheme val="minor"/>
      </rPr>
      <t>0440200544-2023</t>
    </r>
    <r>
      <rPr>
        <sz val="11"/>
        <color theme="1"/>
        <rFont val="等线"/>
        <family val="3"/>
        <charset val="134"/>
        <scheme val="minor"/>
      </rPr>
      <t>年（借）字</t>
    </r>
    <r>
      <rPr>
        <sz val="11"/>
        <color theme="1"/>
        <rFont val="等线"/>
        <family val="3"/>
        <charset val="134"/>
        <scheme val="minor"/>
      </rPr>
      <t>002085</t>
    </r>
    <r>
      <rPr>
        <sz val="11"/>
        <color theme="1"/>
        <rFont val="等线"/>
        <family val="3"/>
        <charset val="134"/>
        <scheme val="minor"/>
      </rPr>
      <t>号、</t>
    </r>
    <r>
      <rPr>
        <sz val="11"/>
        <color theme="1"/>
        <rFont val="等线"/>
        <family val="3"/>
        <charset val="134"/>
        <scheme val="minor"/>
      </rPr>
      <t>0440200544-2023</t>
    </r>
    <r>
      <rPr>
        <sz val="11"/>
        <color theme="1"/>
        <rFont val="等线"/>
        <family val="3"/>
        <charset val="134"/>
        <scheme val="minor"/>
      </rPr>
      <t>年（借）字</t>
    </r>
    <r>
      <rPr>
        <sz val="11"/>
        <color theme="1"/>
        <rFont val="等线"/>
        <family val="3"/>
        <charset val="134"/>
        <scheme val="minor"/>
      </rPr>
      <t>002086</t>
    </r>
    <r>
      <rPr>
        <sz val="11"/>
        <color theme="1"/>
        <rFont val="等线"/>
        <family val="3"/>
        <charset val="134"/>
        <scheme val="minor"/>
      </rPr>
      <t>号</t>
    </r>
  </si>
  <si>
    <t>海创药业股份有限公司</t>
  </si>
  <si>
    <t>915101000624182000</t>
  </si>
  <si>
    <t>中外合资</t>
  </si>
  <si>
    <t>招商银行股份有限公司锦官城支行128905498610603</t>
  </si>
  <si>
    <t>成都银行股份有限公司琴台支行</t>
  </si>
  <si>
    <t>2022.10.31至2023.10.30</t>
  </si>
  <si>
    <t>H190101221012380</t>
  </si>
  <si>
    <t>J190101221012380001</t>
  </si>
  <si>
    <r>
      <rPr>
        <sz val="11"/>
        <color theme="1"/>
        <rFont val="等线"/>
        <family val="3"/>
        <charset val="134"/>
        <scheme val="minor"/>
      </rPr>
      <t>是，2</t>
    </r>
    <r>
      <rPr>
        <sz val="11"/>
        <color theme="1"/>
        <rFont val="等线"/>
        <family val="3"/>
        <charset val="134"/>
        <scheme val="minor"/>
      </rPr>
      <t>023-10-26提前还款3000万元</t>
    </r>
  </si>
  <si>
    <t>成都森未科技有限公司</t>
  </si>
  <si>
    <t>91510100MA6DE3KG2W</t>
  </si>
  <si>
    <t>国有企业</t>
  </si>
  <si>
    <t>431250100100111861（兴业银行成都提督街支行）</t>
  </si>
  <si>
    <t>成农商高营公流借20230009</t>
  </si>
  <si>
    <t>110090000240136</t>
  </si>
  <si>
    <t>成都银行股份有限公司华兴支行</t>
  </si>
  <si>
    <t>H310101221223100</t>
  </si>
  <si>
    <t>J310101221223100001</t>
  </si>
  <si>
    <t>是，2023-12-13提前还款1000万元</t>
  </si>
  <si>
    <t>成都天奥测控技术有限公司</t>
  </si>
  <si>
    <t>91510100755952122H</t>
  </si>
  <si>
    <t>国家税务局成都高新技术产业开发区税务局</t>
  </si>
  <si>
    <t>建行成都茶店子支行51001416146051502609</t>
  </si>
  <si>
    <t>0440200059-2022年(金牛)字03553号</t>
  </si>
  <si>
    <t>0440200059-2022年(借)字003156号</t>
  </si>
  <si>
    <t>0440200059-2022年（金牛）字05057号</t>
  </si>
  <si>
    <t>0440200059-2023年（借）字000195号</t>
  </si>
  <si>
    <t>0440200059-2023年(金牛)字04355号</t>
  </si>
  <si>
    <t>0440200059-2023年（借）字003070号</t>
  </si>
  <si>
    <t>成都普什制药有限公司</t>
  </si>
  <si>
    <t>9151010066302760XF</t>
  </si>
  <si>
    <t>51001458208051504835中国建设银行股份有限公司成都第五支行</t>
  </si>
  <si>
    <t>新易贷.培优</t>
  </si>
  <si>
    <t>成都银行琴台支行</t>
  </si>
  <si>
    <t>H190101221116841</t>
  </si>
  <si>
    <t>J190101221116841001</t>
  </si>
  <si>
    <t>是，2023-11-16提前还款1800万元</t>
  </si>
  <si>
    <t>成都农商行青龙支行</t>
  </si>
  <si>
    <t>成农商龙公流借20230009</t>
  </si>
  <si>
    <t>110090000231410</t>
  </si>
  <si>
    <t>成都邦普切削刀具股份有限公司</t>
  </si>
  <si>
    <t>91510100725362949Q</t>
  </si>
  <si>
    <t>51001416108059450025建行成都市第一支行</t>
  </si>
  <si>
    <t>中国民生银行股份有限公司成都锦江支行</t>
  </si>
  <si>
    <t>公流贷字第ZX22000000422328号</t>
  </si>
  <si>
    <t>ZX22000000422328</t>
  </si>
  <si>
    <t>是，部分还款2023-12-27提前还款50万元</t>
  </si>
  <si>
    <t>无借据、平台也无</t>
  </si>
  <si>
    <t>0440200044-2022年(草市)字04291号</t>
  </si>
  <si>
    <t>0440200044-2022年(借)字003221号</t>
  </si>
  <si>
    <t>申报金额填列错误</t>
  </si>
  <si>
    <t>成都飞机工业集团电子科技有限公司</t>
  </si>
  <si>
    <t>成都市工商局</t>
  </si>
  <si>
    <t>91510100758783256J</t>
  </si>
  <si>
    <t>国有参股</t>
  </si>
  <si>
    <t>成都工商银行黄田坝分理处 4402219009100009913</t>
  </si>
  <si>
    <t>H340101221028044</t>
  </si>
  <si>
    <t>J340101221028044001</t>
  </si>
  <si>
    <r>
      <rPr>
        <sz val="11"/>
        <color theme="1"/>
        <rFont val="等线"/>
        <family val="3"/>
        <charset val="134"/>
        <scheme val="minor"/>
      </rPr>
      <t>是，2</t>
    </r>
    <r>
      <rPr>
        <sz val="11"/>
        <color theme="1"/>
        <rFont val="等线"/>
        <family val="3"/>
        <charset val="134"/>
        <scheme val="minor"/>
      </rPr>
      <t>023-10-19提前还款2000万元</t>
    </r>
  </si>
  <si>
    <t>四川骏逸富顿科技有限公司</t>
  </si>
  <si>
    <t>9151010039628749XP</t>
  </si>
  <si>
    <t>成都农村商业银行股份有限公司聚兴支行1000020007453011</t>
  </si>
  <si>
    <t>成都农村商业银行股份有限公司聚兴支行</t>
  </si>
  <si>
    <t>成农商金聚公流借20230001</t>
  </si>
  <si>
    <t>110080000242555</t>
  </si>
  <si>
    <t>成都晨发泰达航空科技股份有限公司</t>
  </si>
  <si>
    <t>91510100MA61TY51XJ</t>
  </si>
  <si>
    <t>股份制企业</t>
  </si>
  <si>
    <t>成都高新技术产业开发区税务局西园税务所</t>
  </si>
  <si>
    <t>81012100000093595（乐山市商业银行成都分行）</t>
  </si>
  <si>
    <t>民生银行成都高新支行</t>
  </si>
  <si>
    <t>公流贷字第ZX22000000391059号</t>
  </si>
  <si>
    <t>ZX22000000391059</t>
  </si>
  <si>
    <t>是、台账部分叫成发泰达 备案部分叫晨发(变更名称）</t>
  </si>
  <si>
    <t>未提供纸质借款合同、借据、只给了综合授信合同</t>
  </si>
  <si>
    <t>公流贷字第ZX22000000395892号</t>
  </si>
  <si>
    <t>ZX22000000395892</t>
  </si>
  <si>
    <t>未提供纸质借款合同、借据</t>
  </si>
  <si>
    <t>成都蕊源半导体科技股份有限公司</t>
  </si>
  <si>
    <t>91510100MA61WTPR2G</t>
  </si>
  <si>
    <t>698038262民生银行成都铁像寺支行</t>
  </si>
  <si>
    <t>H510701230607540</t>
  </si>
  <si>
    <t>J510701230607540001</t>
  </si>
  <si>
    <t>中国银行成都成华支行</t>
  </si>
  <si>
    <t>2023年中成中小借字第W056号</t>
  </si>
  <si>
    <t>总字第2023号中成中小借字第W056号</t>
  </si>
  <si>
    <t>成都开飞高能化学工业有限公司</t>
  </si>
  <si>
    <t>91510100709203032R</t>
  </si>
  <si>
    <t>外商投资企业</t>
  </si>
  <si>
    <t>收款账号:511601019010123011928(开户行:交通银行成都温江支行)</t>
  </si>
  <si>
    <t>成衣商高营公流借20220144</t>
  </si>
  <si>
    <t>110020000213099</t>
  </si>
  <si>
    <t>是，部分提前还款2023-5-23提前还款100万，2023-11-23提前还款100万</t>
  </si>
  <si>
    <t>110000000224697</t>
  </si>
  <si>
    <t>四川省华盾防务科技股份有限公司</t>
  </si>
  <si>
    <t>91510100737729605K</t>
  </si>
  <si>
    <t>成都银行西区支行 1001300000667420</t>
  </si>
  <si>
    <t>H340101221209762</t>
  </si>
  <si>
    <t>J340101221209762001</t>
  </si>
  <si>
    <t>成都特来电新能源有限公司</t>
  </si>
  <si>
    <t>国有混合</t>
  </si>
  <si>
    <t>户名：成都特来电新能源有限公司开户行：成都农村商业银行股份有限公司大源支行账号：1000060006541960</t>
  </si>
  <si>
    <t>成都农村商业银行股份有限公司大源支行</t>
  </si>
  <si>
    <t>成农商高大公流借20220020</t>
  </si>
  <si>
    <t>00785084</t>
  </si>
  <si>
    <t>平台单号：110090000207486</t>
  </si>
  <si>
    <t>成都利普芯微电子有限公司</t>
  </si>
  <si>
    <t>91510100MA67GLY99L</t>
  </si>
  <si>
    <t>有限责任公司（民营）</t>
  </si>
  <si>
    <t>1001300001104517（成都银行二仙桥东路支行）</t>
  </si>
  <si>
    <t>成都银行有限公司成华支行</t>
  </si>
  <si>
    <t>H060101230323660</t>
  </si>
  <si>
    <t>J060101230323660001</t>
  </si>
  <si>
    <t>成都中航华测科技有限公司</t>
  </si>
  <si>
    <t>91510107066992989P</t>
  </si>
  <si>
    <t>私营有限公司</t>
  </si>
  <si>
    <t>账号：4402208009100373143开户行：工商银行成都春熙路步行街支行</t>
  </si>
  <si>
    <t>新易 贷 · 惠业</t>
  </si>
  <si>
    <t>成都农商银行</t>
  </si>
  <si>
    <t>成农商青公流借20230042</t>
  </si>
  <si>
    <r>
      <rPr>
        <sz val="11"/>
        <color theme="1"/>
        <rFont val="等线"/>
        <family val="3"/>
        <charset val="134"/>
        <scheme val="minor"/>
      </rPr>
      <t>009</t>
    </r>
    <r>
      <rPr>
        <sz val="11"/>
        <color theme="1"/>
        <rFont val="等线"/>
        <family val="3"/>
        <charset val="134"/>
        <scheme val="minor"/>
      </rPr>
      <t>66405</t>
    </r>
  </si>
  <si>
    <t>成都英黎科技有限公司</t>
  </si>
  <si>
    <t>91510100734807532R</t>
  </si>
  <si>
    <t>中国农业银行股份有限公司成都府青路支行801501040003566</t>
  </si>
  <si>
    <t>中国工商银行股份有限公司成都春熙支行</t>
  </si>
  <si>
    <t>0440200023-2023年（春熙）字02258号</t>
  </si>
  <si>
    <t>0440200023-2023年（信）字 001571号</t>
  </si>
  <si>
    <t>未提供借据</t>
  </si>
  <si>
    <t>0440200023-2023年（春熙）字02255号</t>
  </si>
  <si>
    <t>0440200023-2023年（抵）字001621号</t>
  </si>
  <si>
    <t>四川尚锐生物医药有限公司</t>
  </si>
  <si>
    <t>915101006743448627</t>
  </si>
  <si>
    <t>4402005609000009015工商银行成都华西医院支行</t>
  </si>
  <si>
    <t>成都农商银行青羊支行</t>
  </si>
  <si>
    <t>2022.12.28至2023.12.27</t>
  </si>
  <si>
    <t>成农商青公流借20220117</t>
  </si>
  <si>
    <t>110040000214578</t>
  </si>
  <si>
    <r>
      <rPr>
        <sz val="11"/>
        <color theme="1"/>
        <rFont val="等线"/>
        <family val="3"/>
        <charset val="134"/>
        <scheme val="minor"/>
      </rPr>
      <t>是，2</t>
    </r>
    <r>
      <rPr>
        <sz val="11"/>
        <color theme="1"/>
        <rFont val="等线"/>
        <family val="3"/>
        <charset val="134"/>
        <scheme val="minor"/>
      </rPr>
      <t>023-11-30提前还款1000万元</t>
    </r>
  </si>
  <si>
    <t>威特龙消防安全集团股份公司</t>
  </si>
  <si>
    <t>四川省市场监督管理局</t>
  </si>
  <si>
    <t>91510000698873187M</t>
  </si>
  <si>
    <t>中国银行股份有限公司郫都支行122556288822</t>
  </si>
  <si>
    <t>兴业银行银行股份有限公司成都分行</t>
  </si>
  <si>
    <t>兴银蓉（贷）2310第35515号</t>
  </si>
  <si>
    <r>
      <rPr>
        <sz val="11"/>
        <color theme="1"/>
        <rFont val="等线"/>
        <family val="3"/>
        <charset val="134"/>
        <scheme val="minor"/>
      </rPr>
      <t>431250100300148622、</t>
    </r>
    <r>
      <rPr>
        <sz val="11"/>
        <color theme="1"/>
        <rFont val="等线"/>
        <family val="3"/>
        <charset val="134"/>
        <scheme val="minor"/>
      </rPr>
      <t xml:space="preserve">431250100300148743 </t>
    </r>
  </si>
  <si>
    <t>431250100300148622这笔500平台显示：不成功，根据合同号未匹配到审核通过的产品备案</t>
  </si>
  <si>
    <t>四川华控图形科技有限公司</t>
  </si>
  <si>
    <t>成都市成华区行政审批局</t>
  </si>
  <si>
    <t>9151000073159632XO</t>
  </si>
  <si>
    <t>成都市成华区税务局</t>
  </si>
  <si>
    <t>51001416138050386932(中国建设银行股份有限公司成都成华支行)</t>
  </si>
  <si>
    <t>中国建设银行股份有限公司成都开发西区支行</t>
  </si>
  <si>
    <t>2023年开流贷字(501)082号</t>
  </si>
  <si>
    <t>行标签</t>
  </si>
  <si>
    <t>计数项:企业名称</t>
  </si>
  <si>
    <t>求和项:申报补助金额</t>
  </si>
  <si>
    <t>求和项:贷款金额</t>
  </si>
  <si>
    <t>四川斯艾普电子科技有限公司</t>
  </si>
  <si>
    <t>总计</t>
  </si>
  <si>
    <t>求和项:审计合格金额</t>
  </si>
  <si>
    <t>贝肯能源(成都)有限责任公司</t>
  </si>
  <si>
    <t>成都巴莫科技有限责任公司</t>
  </si>
  <si>
    <t>成都朝合普尔航空科技股份有限公司</t>
  </si>
  <si>
    <t>成都晨光博达新材料股份有限公司</t>
  </si>
  <si>
    <t>成都成电医星数字健康软件有限公司</t>
  </si>
  <si>
    <t>成都成维精密机械制造有限公司</t>
  </si>
  <si>
    <t>成都川行科技塑业有限公司</t>
  </si>
  <si>
    <t>成都川一机械有限公司</t>
  </si>
  <si>
    <t>成都创科升电子科技有限责任公司</t>
  </si>
  <si>
    <t>成都春源食品有限公司</t>
  </si>
  <si>
    <t>成都大鹏纵横智能设备有限公司</t>
  </si>
  <si>
    <t>成都点阵科技有限公司</t>
  </si>
  <si>
    <t>成都东方仪器有限公司</t>
  </si>
  <si>
    <t>成都飞亚航空设备应用研究所有限公司</t>
  </si>
  <si>
    <t>成都傅立叶电子科技有限公司</t>
  </si>
  <si>
    <t>成都格理特电子技术有限公司</t>
  </si>
  <si>
    <t>成都工具研究所有限公司</t>
  </si>
  <si>
    <t>成都国铁电气设备有限公司</t>
  </si>
  <si>
    <t>成都国信中联投资管理有限公司</t>
  </si>
  <si>
    <t>成都海科工控设备有限公司</t>
  </si>
  <si>
    <t>成都海科机械设备制造有限公司</t>
  </si>
  <si>
    <t>成都航新航空装备科技有限公司</t>
  </si>
  <si>
    <t>成都宏科电子科技有限公司</t>
  </si>
  <si>
    <t>成都宏科微波通信有限公司</t>
  </si>
  <si>
    <t>成都宏明电子股份有限公司</t>
  </si>
  <si>
    <t>成都宏明双新科技股份有限公司</t>
  </si>
  <si>
    <t>成都虹宁显示玻璃有限公司</t>
  </si>
  <si>
    <t>成都华高生物制品有限公司</t>
  </si>
  <si>
    <t>成都华铭电子科技有限公司</t>
  </si>
  <si>
    <t>成都华信佳亿科技有限公司</t>
  </si>
  <si>
    <t>成都汇道堂中药饮片有限责任公司</t>
  </si>
  <si>
    <t>成都惠锋新材料科技股份有限公司</t>
  </si>
  <si>
    <t>成都锦江晓康之家综合门诊部有限公司</t>
  </si>
  <si>
    <t>成都俊马密封科技股份有限公司</t>
  </si>
  <si>
    <t>成都卡乐福高分子材料股份有限公司</t>
  </si>
  <si>
    <t>成都卡诺普机器人技术股份有限公司</t>
  </si>
  <si>
    <t>成都康乐汇食品有限公司</t>
  </si>
  <si>
    <t>成都科宏达科技有限公司</t>
  </si>
  <si>
    <t>成都联帮医疗科技股份有限公司</t>
  </si>
  <si>
    <t>成都凌亚科技有限公司</t>
  </si>
  <si>
    <t>成都伦慈仪表有限公司</t>
  </si>
  <si>
    <t>成都迈特航空制造有限公司</t>
  </si>
  <si>
    <t>成都美奢锐新材料有限公司</t>
  </si>
  <si>
    <t>成都南环药业包装(集团)有限公司</t>
  </si>
  <si>
    <t>成都明夷电子科技有限公司</t>
  </si>
  <si>
    <t>成都南头科技有限公司</t>
  </si>
  <si>
    <t>成都能通科技股份有限公司</t>
  </si>
  <si>
    <t>成都纽瑞特医疗科技股份有限公司</t>
  </si>
  <si>
    <t>成都千嘉科技股份有限公司</t>
  </si>
  <si>
    <t>成都青洋电子材料有限公司</t>
  </si>
  <si>
    <t>成都润联科技开发有限公司</t>
  </si>
  <si>
    <t>成都赛肯思创享生活景观设计股份有限公司</t>
  </si>
  <si>
    <t>成都赛林斯科技实业有限公司</t>
  </si>
  <si>
    <t>成都三是科技有限公司</t>
  </si>
  <si>
    <t>成都上境酒店管理有限公司</t>
  </si>
  <si>
    <t>成都尚明工业有限公司</t>
  </si>
  <si>
    <t>成都深冷科技有限公司</t>
  </si>
  <si>
    <t>成都世润汽车部件有限公司</t>
  </si>
  <si>
    <t>成都市川泰玻璃有限责任公司</t>
  </si>
  <si>
    <t>成都市鸿侠科技有限责任公司</t>
  </si>
  <si>
    <t>成都市花中花农业发展有限责任公司</t>
  </si>
  <si>
    <t>成都市凌翔植化科技开发有限公司</t>
  </si>
  <si>
    <t>成都市明峰光学仪器有限公司</t>
  </si>
  <si>
    <t>成都市祺隆中药饮片有限公司</t>
  </si>
  <si>
    <t>成都市西点缘电力投资管理有限公司</t>
  </si>
  <si>
    <t>成都市新美加机械设备制造有限公司</t>
  </si>
  <si>
    <t>成都顺康三森电子有限责任公司</t>
  </si>
  <si>
    <t>成都特隆美储能技术有限公司</t>
  </si>
  <si>
    <t>成都通威动物营养科技有限公司</t>
  </si>
  <si>
    <t>成都通威三新药业有限公司</t>
  </si>
  <si>
    <t>成都通用电缆厂</t>
  </si>
  <si>
    <t>成都通宇航空设备制造有限公司</t>
  </si>
  <si>
    <t>成都桐林铸造实业有限公司</t>
  </si>
  <si>
    <t>成都万江港利科技股份有限公司</t>
  </si>
  <si>
    <t>成都万江智控科技有限公司</t>
  </si>
  <si>
    <t>成都望锦汽车部件有限公司</t>
  </si>
  <si>
    <t>成都新成量工具有限公司</t>
  </si>
  <si>
    <t>成都新恒创药业有限公司</t>
  </si>
  <si>
    <t>成都新太丰农业开发有限公司</t>
  </si>
  <si>
    <t>成都鑫三合机电新技术开发有限公司</t>
  </si>
  <si>
    <t>成都旭光科技股份有限公司</t>
  </si>
  <si>
    <t>成都迅翼卫通科技有限公司</t>
  </si>
  <si>
    <t>成都英德生物医药设备有限公司</t>
  </si>
  <si>
    <t>成都英诺思科技有限公司</t>
  </si>
  <si>
    <t>成都优利酷恩新材料有限公司</t>
  </si>
  <si>
    <t>成都友一包装材料有限公司</t>
  </si>
  <si>
    <t>成都宇亨智能科技有限公司</t>
  </si>
  <si>
    <t>成都裕鸢航空智能制造股份有限公司</t>
  </si>
  <si>
    <t>成都正汇信息技术有限公司</t>
  </si>
  <si>
    <t>成都中工电气工程有限公司</t>
  </si>
  <si>
    <t>成都中科信息技术有限公司</t>
  </si>
  <si>
    <t>崇州君健塑胶有限公司</t>
  </si>
  <si>
    <t>丹氏生物科技成都有限公司</t>
  </si>
  <si>
    <t>广电计量检测(成都)有限公司</t>
  </si>
  <si>
    <t>海瑞克(成都)隧道设备有限公司</t>
  </si>
  <si>
    <t>民航成都电子技术有限责任公司</t>
  </si>
  <si>
    <t>彭州太萌新材料有限公司</t>
  </si>
  <si>
    <t>四川艾贝斯科技发展有限公司</t>
  </si>
  <si>
    <t>四川成都探矿机械有限责任公司</t>
  </si>
  <si>
    <t>四川成都同道堂制药有限责任公司</t>
  </si>
  <si>
    <t>四川川纳电气有限公司</t>
  </si>
  <si>
    <t>四川川能智网实业有限公司</t>
  </si>
  <si>
    <t>四川达卡电气有限公司</t>
  </si>
  <si>
    <t>四川饭扫光食品集团股份有限公司</t>
  </si>
  <si>
    <t>四川港通医疗设备集团股份有限公司</t>
  </si>
  <si>
    <t>四川格林流体控制设备有限公司</t>
  </si>
  <si>
    <t>四川海力智能科技股份有限公司</t>
  </si>
  <si>
    <t>四川海思科制药有限公司</t>
  </si>
  <si>
    <t>四川禾一天然药业有限公司</t>
  </si>
  <si>
    <t>四川合纵药易购医药股份有限公司</t>
  </si>
  <si>
    <t>四川宏康源药业有限公司</t>
  </si>
  <si>
    <t>四川汇投环保工程有限责任公司</t>
  </si>
  <si>
    <t>四川骏腾宇航科技有限公司</t>
  </si>
  <si>
    <t>四川科华展示设备有限公司</t>
  </si>
  <si>
    <t>四川空分集团工程有限公司</t>
  </si>
  <si>
    <t>四川兰晨管业有限公司</t>
  </si>
  <si>
    <t>四川龙蛋数字农业供应链有限公司</t>
  </si>
  <si>
    <t>四川美峰环境治理有限责任公司</t>
  </si>
  <si>
    <t>四川岷江物流有限公司</t>
  </si>
  <si>
    <t>四川能投新都分布式能源有限公司</t>
  </si>
  <si>
    <t>四川诺乐电动科技有限公司</t>
  </si>
  <si>
    <t>四川千页科技股份有限公司</t>
  </si>
  <si>
    <t>四川三元环境治理股份有限公司</t>
  </si>
  <si>
    <t>四川商通实业有限公司</t>
  </si>
  <si>
    <t>四川申力门业有限责任公司</t>
  </si>
  <si>
    <t>四川省泓圃药业有限公司</t>
  </si>
  <si>
    <t>四川省三物科技有限公司</t>
  </si>
  <si>
    <t>四川蜀腾母线有限公司</t>
  </si>
  <si>
    <t>四川拓及轨道交通设备股份有限公司</t>
  </si>
  <si>
    <t>四川腾盾科技有限公司</t>
  </si>
  <si>
    <t>四川通力达医疗水处理设备有限公司</t>
  </si>
  <si>
    <t>四川图特新能源发展有限公司</t>
  </si>
  <si>
    <t>四川沱江源药业有限公司</t>
  </si>
  <si>
    <t>四川文投爱科行科技有限公司</t>
  </si>
  <si>
    <t>四川兴睿龙实业有限公司</t>
  </si>
  <si>
    <t>四川昱峰医疗器械有限公司</t>
  </si>
  <si>
    <t>四川远丰森泰能源集团有限公司</t>
  </si>
  <si>
    <t>四川长虹润天能源科技有限公司</t>
  </si>
  <si>
    <t>四川中德铝业有限公司</t>
  </si>
  <si>
    <t>微网优联科技(成都)有限公司</t>
  </si>
  <si>
    <t>希望森兰科技股份有限公司</t>
  </si>
  <si>
    <t>知行良知实业股份有限公司</t>
  </si>
  <si>
    <t>中电九天智能科技有限公司</t>
  </si>
  <si>
    <t>众杰信息产业集团有限公司</t>
  </si>
  <si>
    <t>重庆医药集团四川生物制品有限公司</t>
  </si>
  <si>
    <t>2024年成都市“新易贷”贴息补助项目拟支持企业名单</t>
  </si>
  <si>
    <t>成华区</t>
  </si>
  <si>
    <t>崇州市</t>
  </si>
  <si>
    <t>大邑县</t>
  </si>
  <si>
    <t>都江堰市</t>
  </si>
  <si>
    <t>简阳市</t>
  </si>
  <si>
    <t>金牛区</t>
  </si>
  <si>
    <t>金堂县</t>
  </si>
  <si>
    <t>锦江区</t>
  </si>
  <si>
    <t>龙泉驿区</t>
  </si>
  <si>
    <t>彭州市</t>
  </si>
  <si>
    <t>郫都区</t>
  </si>
  <si>
    <t>蒲江县</t>
  </si>
  <si>
    <t>青白江区</t>
  </si>
  <si>
    <t>青羊区</t>
  </si>
  <si>
    <t>邛崃市</t>
  </si>
  <si>
    <t>双流区</t>
  </si>
  <si>
    <t>四川天府新区</t>
  </si>
  <si>
    <t>温江区</t>
  </si>
  <si>
    <t>武侯区</t>
  </si>
  <si>
    <t>新都区</t>
  </si>
  <si>
    <t>新津区</t>
  </si>
  <si>
    <t>成都明夷电子科技股份有限公司（成都明夷电子科技有限公司）</t>
  </si>
  <si>
    <t>(空白)</t>
  </si>
  <si>
    <t>区（市）县</t>
  </si>
  <si>
    <t>申报单位</t>
  </si>
  <si>
    <t>　申报条数</t>
  </si>
  <si>
    <t>项目类型</t>
  </si>
  <si>
    <t>专家意见</t>
  </si>
  <si>
    <t>是否推荐</t>
  </si>
  <si>
    <t>求和项:　申报条数</t>
  </si>
  <si>
    <t>“新易贷”贴息补助</t>
  </si>
  <si>
    <t>补充借款合同及借据</t>
  </si>
  <si>
    <t>补充借据</t>
  </si>
  <si>
    <t>补充借据及银行签章</t>
  </si>
  <si>
    <t>补充企业更名信息材料</t>
  </si>
  <si>
    <t>申报三笔借款，有一笔未在平台登记</t>
  </si>
  <si>
    <t>申报二笔借款，有一笔未在平台登记</t>
  </si>
  <si>
    <t>申报四笔借款，有一笔未在平台登记</t>
  </si>
  <si>
    <t>诚信申报承诺书需法定代表人签字</t>
  </si>
  <si>
    <t>利息支付汇总表与合同不一致</t>
  </si>
  <si>
    <t>补充借据及借款到账凭证</t>
  </si>
  <si>
    <t>求和项:支付利息金额</t>
  </si>
  <si>
    <t>未查，账号尚未提供</t>
  </si>
  <si>
    <r>
      <rPr>
        <sz val="11"/>
        <color theme="1"/>
        <rFont val="宋体"/>
        <family val="3"/>
        <charset val="134"/>
      </rPr>
      <t>审计合格利息金额</t>
    </r>
  </si>
  <si>
    <t>成都市双流区行政审批局</t>
  </si>
  <si>
    <t>91510122762296565T</t>
  </si>
  <si>
    <t>国家税务总局成都市双流区税务局</t>
  </si>
  <si>
    <t>收款账号：511610018018002334922
开户行：交通银行股份有限公司双流分行</t>
  </si>
  <si>
    <t>成都银行股份有限公司开发区支行</t>
  </si>
  <si>
    <t>H020101220801720</t>
  </si>
  <si>
    <t>J020101220801720001</t>
  </si>
  <si>
    <t>成都市双流区市场和质量监督管理局</t>
  </si>
  <si>
    <t>91510122MA68J32BXQ</t>
  </si>
  <si>
    <t>有限责任公司(中外合资)</t>
  </si>
  <si>
    <t>收款账号：1001300000755070
开户行：成都银行开发区支行</t>
  </si>
  <si>
    <t>成都银行开发区支行</t>
  </si>
  <si>
    <t>H020101230625020</t>
  </si>
  <si>
    <t>J020101230625020001</t>
  </si>
  <si>
    <t>91510122MA61U3Q22C</t>
  </si>
  <si>
    <t>股份有限公司(台港澳与境内合资、未上市)</t>
  </si>
  <si>
    <t>收款账号：1001300000788931
开户行：成都银行公兴支行</t>
  </si>
  <si>
    <t>H020101230330221</t>
  </si>
  <si>
    <t>J020101230330221001</t>
  </si>
  <si>
    <t>兴银蓉（贷）2308第75131号</t>
  </si>
  <si>
    <t>431120100300059098、431120100300058933</t>
  </si>
  <si>
    <t>平台上匹配不成功，拆分成2比</t>
  </si>
  <si>
    <t>915101227130329181</t>
  </si>
  <si>
    <t>有限责任公司（非自然人投资或控股的法人独资）</t>
  </si>
  <si>
    <t>收款账号：22827501040005124
开户行：中国农业银行股份有限公司双流文星支行</t>
  </si>
  <si>
    <t>H180401230213301</t>
  </si>
  <si>
    <t>J180401230213301001</t>
  </si>
  <si>
    <t>是，但平台贷款利率填报有误</t>
  </si>
  <si>
    <t>91510105083320914H</t>
  </si>
  <si>
    <t>收款账号：755942996010301
开户行：招商银行成都分行金牛区支行</t>
  </si>
  <si>
    <t>成都银行银都支行</t>
  </si>
  <si>
    <t>H510701221111140</t>
  </si>
  <si>
    <t>J510701221111140002</t>
  </si>
  <si>
    <t>新易贷•培优</t>
  </si>
  <si>
    <t>H510701231123442</t>
  </si>
  <si>
    <t>J510701234420001</t>
  </si>
  <si>
    <t>91510108091280721T</t>
  </si>
  <si>
    <t>4402211019100128101(中国工商银行股份有限公司成都沙河支行)</t>
  </si>
  <si>
    <t>中国工商银行股份有限公司成都沙河支行</t>
  </si>
  <si>
    <t>0440200053-2023年(沙河)字01962号</t>
  </si>
  <si>
    <t>0440200053-2023年(借)字001779号</t>
  </si>
  <si>
    <t>是，2023-09-21提前还款1000万元</t>
  </si>
  <si>
    <t>未提供此笔利息支付凭证</t>
  </si>
  <si>
    <t>129328165210(中国银行股份有限公司成都成华支行)</t>
  </si>
  <si>
    <t>中国银行股份有限公司成都成华支行</t>
  </si>
  <si>
    <t>2023年中成中小借字第040号</t>
  </si>
  <si>
    <t>平台显示匹配不成功，根据合同号未匹配到审核通过的产品备案</t>
  </si>
  <si>
    <t>支付利息日期</t>
  </si>
  <si>
    <t>915101002019334483</t>
  </si>
  <si>
    <t>4402211009004001710(中国工商银行股份有限公司成都沙河支行)</t>
  </si>
  <si>
    <t>成都银行股份有限公司成华支行</t>
  </si>
  <si>
    <t>H060101221019920</t>
  </si>
  <si>
    <t>J060101221019920001</t>
  </si>
  <si>
    <t>是、同一笔拆成了两条在两个年度里面-申报金额不超60</t>
  </si>
  <si>
    <t>12个月　</t>
  </si>
  <si>
    <t>H060101231023101</t>
  </si>
  <si>
    <t>J060101231023101001</t>
  </si>
  <si>
    <t>9151010805253547XQ</t>
  </si>
  <si>
    <t>51001488558052502905（中国建设银行股份有限公司成都龙潭支行）</t>
  </si>
  <si>
    <t>H060101230728200</t>
  </si>
  <si>
    <t>J060101230728200001</t>
  </si>
  <si>
    <t>成华市场监督管理局</t>
  </si>
  <si>
    <t>91510108MAACKUEKX5</t>
  </si>
  <si>
    <t>国家金库成都市成华支库</t>
  </si>
  <si>
    <t>1000080004200694（成都农村商业银行机投支行）</t>
  </si>
  <si>
    <t>成都银行股份有限公司德胜支行</t>
  </si>
  <si>
    <t>H290101230801060</t>
  </si>
  <si>
    <t>J290101230801060001</t>
  </si>
  <si>
    <t>915101085773510751</t>
  </si>
  <si>
    <t>国有控股企业</t>
  </si>
  <si>
    <t>1000020007330440(成都农商银行龙潭总部城支行)</t>
  </si>
  <si>
    <t>成都农商银行龙潭总部城支行</t>
  </si>
  <si>
    <t>成农商龙公流借20230014</t>
  </si>
  <si>
    <t>支付凭证给的银行流水</t>
  </si>
  <si>
    <t>成华市场和质量监督管理局</t>
  </si>
  <si>
    <t>915101083579751693</t>
  </si>
  <si>
    <t>1001300000435874 （成都银行龙潭支行）</t>
  </si>
  <si>
    <t>成都农村商业银行股份有限公司</t>
  </si>
  <si>
    <t>成农商簇-公续借 20230008</t>
  </si>
  <si>
    <t>110060000294423</t>
  </si>
  <si>
    <t>91510000779827684C</t>
  </si>
  <si>
    <t>小型</t>
  </si>
  <si>
    <t>51001908608051502125（建行成都新鸿支行）</t>
  </si>
  <si>
    <t>H060101230628900</t>
  </si>
  <si>
    <t>J060101230628900001</t>
  </si>
  <si>
    <t>成都市市 场监督管 理局</t>
  </si>
  <si>
    <t>91510129730205358D</t>
  </si>
  <si>
    <t>中型企业</t>
  </si>
  <si>
    <t>中国税务总局大邑县税务局</t>
  </si>
  <si>
    <t>工行黄田坝支行
44022190091000
02402</t>
  </si>
  <si>
    <t>新易贷
培优</t>
  </si>
  <si>
    <t>成都银行大邑支行</t>
  </si>
  <si>
    <t>H600201231127360</t>
  </si>
  <si>
    <t>J6002012311273600001</t>
  </si>
  <si>
    <t>大邑县行政审批局</t>
  </si>
  <si>
    <t>91510129327481352W</t>
  </si>
  <si>
    <t>大邑县税务局</t>
  </si>
  <si>
    <t>22863101040018592中国农业银行股份有限公司大邑县支行</t>
  </si>
  <si>
    <t>成都银行双流支行</t>
  </si>
  <si>
    <t>H020101230529660</t>
  </si>
  <si>
    <t>J020101230529660001</t>
  </si>
  <si>
    <t>91510129
72032693</t>
  </si>
  <si>
    <t>中国农业银行股份有限公司大邑县支行</t>
  </si>
  <si>
    <t>中国工商银行成都市大邑县支行营业室</t>
  </si>
  <si>
    <t>0440200104-2023年(大邑)字00093号</t>
  </si>
  <si>
    <t>0440200104-2023年(借)字000203号</t>
  </si>
  <si>
    <t>915101297464090132</t>
  </si>
  <si>
    <t>制造业</t>
  </si>
  <si>
    <t>成都农商银行大邑支行022501000120010000831</t>
  </si>
  <si>
    <t xml:space="preserve">成都农商银行大邑支行 </t>
  </si>
  <si>
    <t>成农商邑城公续借20220003</t>
  </si>
  <si>
    <t>00812219</t>
  </si>
  <si>
    <t>平台借据号为110060000200212</t>
  </si>
  <si>
    <t>利息调整</t>
  </si>
  <si>
    <t>都江堰市行政审批服务</t>
  </si>
  <si>
    <t>91510181MA61T9YH7F</t>
  </si>
  <si>
    <t>都江堰市税务局</t>
  </si>
  <si>
    <t>4402224019100184551中国工商银行股份有限公司都江堰市支行</t>
  </si>
  <si>
    <t>中国工商银行股份有限公司都江堰市支行</t>
  </si>
  <si>
    <t>66个月</t>
  </si>
  <si>
    <t>0440200084-2022年(都江)字00775号</t>
  </si>
  <si>
    <t>0440200084-2022年(信)字000575号</t>
  </si>
  <si>
    <t>都江堰市行政审批局</t>
  </si>
  <si>
    <t>9151018139691334X6</t>
  </si>
  <si>
    <t>国家税务总局都江堰市税务局</t>
  </si>
  <si>
    <t>4402224009100375563（中国工商银行都江堰支行营业室）</t>
  </si>
  <si>
    <t>中国工商银行股份有限公司都江堰支行</t>
  </si>
  <si>
    <t>312个月</t>
  </si>
  <si>
    <t>0440200084-2022年(都江)字00819号</t>
  </si>
  <si>
    <t>0440200084-2022年(信)字000598号</t>
  </si>
  <si>
    <t xml:space="preserve">是 </t>
  </si>
  <si>
    <t xml:space="preserve">                           </t>
  </si>
  <si>
    <t>8个月</t>
  </si>
  <si>
    <t>0440200084-2022年(都江)字00820</t>
  </si>
  <si>
    <t>0044020084-2022年(信)字000597号</t>
  </si>
  <si>
    <t>0440200084-2022年(都江)字00823</t>
  </si>
  <si>
    <t>0044020084-2022年(信)字000600号</t>
  </si>
  <si>
    <t>都江堰市市场和质量监督管理局</t>
  </si>
  <si>
    <t>91510181080615928J</t>
  </si>
  <si>
    <t>1000040006431397成都农商银行股份有限公司青羊支行中鹏分理处</t>
  </si>
  <si>
    <t>新易贷 ·惠业</t>
  </si>
  <si>
    <t>成都农商银行股份有限公司青羊支行中鹏分理处</t>
  </si>
  <si>
    <t>成农商青公流借20220104</t>
  </si>
  <si>
    <t>11000000197118</t>
  </si>
  <si>
    <t>是，
2023-10-7提前还款1000万元</t>
  </si>
  <si>
    <t>91510181062402662Q</t>
  </si>
  <si>
    <t>4402224109100029043中国工商银行股份有限公司都江堰支行东门分理处</t>
  </si>
  <si>
    <t>工商银行都江堰支行东门分理处</t>
  </si>
  <si>
    <t>6个月</t>
  </si>
  <si>
    <t>0440200084-2022年(都江)字00711号</t>
  </si>
  <si>
    <t>440200084-2022年(信)字000531</t>
  </si>
  <si>
    <t>915101815826117000</t>
  </si>
  <si>
    <t>1001300000963396（成都银行股份有限公司都江堰支行）</t>
  </si>
  <si>
    <t>成都银行都江堰大道支行</t>
  </si>
  <si>
    <t>H600401220324140</t>
  </si>
  <si>
    <t>J600401220324140001</t>
  </si>
  <si>
    <r>
      <rPr>
        <sz val="11"/>
        <color theme="1"/>
        <rFont val="等线"/>
        <family val="3"/>
        <charset val="134"/>
        <scheme val="minor"/>
      </rPr>
      <t>是，2</t>
    </r>
    <r>
      <rPr>
        <sz val="11"/>
        <color theme="1"/>
        <rFont val="等线"/>
        <family val="3"/>
        <charset val="134"/>
        <scheme val="minor"/>
      </rPr>
      <t>023-3-15提前还款1000万元</t>
    </r>
  </si>
  <si>
    <t>H600401230625080</t>
  </si>
  <si>
    <t>J600401230625080001</t>
  </si>
  <si>
    <t>91510100
20688144
8P</t>
  </si>
  <si>
    <t>中型</t>
  </si>
  <si>
    <t>简阳市税务局</t>
  </si>
  <si>
    <t>51001687408050313644中国建设银行股份有限公司简阳支行</t>
  </si>
  <si>
    <t>0230700099-2023年(简阳)字00087号</t>
  </si>
  <si>
    <r>
      <rPr>
        <sz val="11"/>
        <color theme="1"/>
        <rFont val="等线"/>
        <family val="3"/>
        <charset val="134"/>
        <scheme val="minor"/>
      </rPr>
      <t>4402489110000023525平台单号：</t>
    </r>
    <r>
      <rPr>
        <sz val="11"/>
        <color theme="1"/>
        <rFont val="等线"/>
        <family val="3"/>
        <charset val="134"/>
        <scheme val="minor"/>
      </rPr>
      <t>0230700099-2023(</t>
    </r>
    <r>
      <rPr>
        <sz val="11"/>
        <color theme="1"/>
        <rFont val="等线"/>
        <family val="3"/>
        <charset val="134"/>
        <scheme val="minor"/>
      </rPr>
      <t>借</t>
    </r>
    <r>
      <rPr>
        <sz val="11"/>
        <color theme="1"/>
        <rFont val="等线"/>
        <family val="3"/>
        <charset val="134"/>
        <scheme val="minor"/>
      </rPr>
      <t>)</t>
    </r>
    <r>
      <rPr>
        <sz val="11"/>
        <color theme="1"/>
        <rFont val="等线"/>
        <family val="3"/>
        <charset val="134"/>
        <scheme val="minor"/>
      </rPr>
      <t>字</t>
    </r>
    <r>
      <rPr>
        <sz val="11"/>
        <color theme="1"/>
        <rFont val="等线"/>
        <family val="3"/>
        <charset val="134"/>
        <scheme val="minor"/>
      </rPr>
      <t>000190</t>
    </r>
    <r>
      <rPr>
        <sz val="11"/>
        <color theme="1"/>
        <rFont val="等线"/>
        <family val="3"/>
        <charset val="134"/>
        <scheme val="minor"/>
      </rPr>
      <t>号</t>
    </r>
  </si>
  <si>
    <t>平台单号：0230700099-2023(借)字000190号</t>
  </si>
  <si>
    <t>农商银行</t>
  </si>
  <si>
    <t>成农商眉公流借20230051</t>
  </si>
  <si>
    <r>
      <rPr>
        <sz val="11"/>
        <color theme="1"/>
        <rFont val="等线"/>
        <family val="3"/>
        <charset val="134"/>
        <scheme val="minor"/>
      </rPr>
      <t>00739977</t>
    </r>
    <r>
      <rPr>
        <sz val="11"/>
        <color theme="1"/>
        <rFont val="等线"/>
        <family val="3"/>
        <charset val="134"/>
        <scheme val="minor"/>
      </rPr>
      <t>平台单号：110040000325996</t>
    </r>
  </si>
  <si>
    <t>金牛区市场监督管理局</t>
  </si>
  <si>
    <t>91510100MA61T6QGXG</t>
  </si>
  <si>
    <t>金牛区税务局</t>
  </si>
  <si>
    <t>1001300000622692
成都银行银都支行</t>
  </si>
  <si>
    <t>新易贷</t>
  </si>
  <si>
    <t>H510701221115161</t>
  </si>
  <si>
    <t>J510701221115161001</t>
  </si>
  <si>
    <t>是，2023-10-23提前还款3000万元</t>
  </si>
  <si>
    <t>91510000201805841K</t>
  </si>
  <si>
    <t>国有全资</t>
  </si>
  <si>
    <t>成都银行八里庄支行</t>
  </si>
  <si>
    <t>H060101221227820</t>
  </si>
  <si>
    <t>J060101221227820001</t>
  </si>
  <si>
    <t>91510000660290648K</t>
  </si>
  <si>
    <t>国税局税务总局成都金牛区税务局</t>
  </si>
  <si>
    <t>开户行：成都银行量力支行
账号：32032003217894700022</t>
  </si>
  <si>
    <t>成都银行量力支行</t>
  </si>
  <si>
    <t>成都农商花公公流借20220032</t>
  </si>
  <si>
    <t>110090000206811</t>
  </si>
  <si>
    <t>H3201010221021580</t>
  </si>
  <si>
    <t>J320101221021580001</t>
  </si>
  <si>
    <t>91310114798931356C</t>
  </si>
  <si>
    <t>640566036（中国民生银行股份有限公司成都建设路支行）</t>
  </si>
  <si>
    <t>公流带字第ZH2300000134981</t>
  </si>
  <si>
    <t>9923000000029545</t>
  </si>
  <si>
    <t>成都农村商业银行股份有限公司金泉支行</t>
  </si>
  <si>
    <t>成农商泉公流借20230010</t>
  </si>
  <si>
    <t>110060000232067</t>
  </si>
  <si>
    <t>110070000244630</t>
  </si>
  <si>
    <t>成都市金牛区市场和质量监督管理局</t>
  </si>
  <si>
    <t>91510106743620921N</t>
  </si>
  <si>
    <t>国家税务总局成都市金牛区税务局</t>
  </si>
  <si>
    <t>中国工商银行成都市金牛区支行营业室4402243009004797878</t>
  </si>
  <si>
    <t>中国民生银行股份有限公司成都神仙树支行</t>
  </si>
  <si>
    <t>公流贷字第ZX23040000289699号</t>
  </si>
  <si>
    <t>ZX23040000289699</t>
  </si>
  <si>
    <t>915100006783875000</t>
  </si>
  <si>
    <t>金牛税务局</t>
  </si>
  <si>
    <t>73080154800000665浦发银行成都蜀汉支行</t>
  </si>
  <si>
    <t>新易贷（惠业）</t>
  </si>
  <si>
    <t>H340101230616340</t>
  </si>
  <si>
    <t>J340101230616340001</t>
  </si>
  <si>
    <t>起始日期填报错误</t>
  </si>
  <si>
    <t>H340101230531941</t>
  </si>
  <si>
    <t>J340101230531941001</t>
  </si>
  <si>
    <t>四川省工商行政管理局</t>
  </si>
  <si>
    <t>91510000791813744U</t>
  </si>
  <si>
    <t>中小</t>
  </si>
  <si>
    <t>125279083485（中国银行成都东大街支行）</t>
  </si>
  <si>
    <t>公流带字第ZH2300000051696号</t>
  </si>
  <si>
    <t>9923000000012472</t>
  </si>
  <si>
    <t>锦江市场监督管理局</t>
  </si>
  <si>
    <t>91510104MA6C71YH58</t>
  </si>
  <si>
    <t>小微企业</t>
  </si>
  <si>
    <t>国家税务总局成都市锦江区税务局</t>
  </si>
  <si>
    <t>1001300001009009成都银行高新支行</t>
  </si>
  <si>
    <t>成都银行高新支行</t>
  </si>
  <si>
    <t>H200101221104681</t>
  </si>
  <si>
    <t>J200101221104681001</t>
  </si>
  <si>
    <t>91510104686322791U</t>
  </si>
  <si>
    <t>128904690610802招商银行成都分行锦官城支行</t>
  </si>
  <si>
    <t>H510701231222980</t>
  </si>
  <si>
    <t>J510701231222980001</t>
  </si>
  <si>
    <t>915101045746047000</t>
  </si>
  <si>
    <t>H310101221013260</t>
  </si>
  <si>
    <t>J310101221013260001</t>
  </si>
  <si>
    <t>J310101221013260002</t>
  </si>
  <si>
    <t>蒲江县行政审批局</t>
  </si>
  <si>
    <t>915101317978317000</t>
  </si>
  <si>
    <t>蒲江县税务局</t>
  </si>
  <si>
    <t>成都农村商业银行股份有限公司蒲江寿安支行 022705000120010001521</t>
  </si>
  <si>
    <t>成都银行股份有限公司蒲江支行</t>
  </si>
  <si>
    <t>H602001230621620</t>
  </si>
  <si>
    <t>J602001230621620001</t>
  </si>
  <si>
    <t>H602001230612181</t>
  </si>
  <si>
    <t>J602001230612181001</t>
  </si>
  <si>
    <t>企业申报补贴产品及补贴标准错误</t>
  </si>
  <si>
    <t>91510131693653695B</t>
  </si>
  <si>
    <t>国家税务局蒲江县税务局</t>
  </si>
  <si>
    <t>成都农商银行蒲江寿安支行：022705000120010001208</t>
  </si>
  <si>
    <t>中国工商银行蒲江县支行</t>
  </si>
  <si>
    <t>0440200117-2022年(蒲江)字00132号</t>
  </si>
  <si>
    <t>00020000139575400</t>
  </si>
  <si>
    <t>是，2023-6-2提前还款100万元</t>
  </si>
  <si>
    <t>平台借据号为0440200117-2022年(信)字000086号</t>
  </si>
  <si>
    <t>91510100572273709N</t>
  </si>
  <si>
    <t>国家税务总局成都市青羊区税务局</t>
  </si>
  <si>
    <t>4402213019006854315（中国工商银行股份有限公司成都石灰街支行）</t>
  </si>
  <si>
    <t xml:space="preserve">成都农商银行簇桥支行 </t>
  </si>
  <si>
    <t>成农商簇一公流借20230061</t>
  </si>
  <si>
    <t>00739271</t>
  </si>
  <si>
    <t>915101007653750589</t>
  </si>
  <si>
    <t>4402219009100011654中国工商银行黄田坝支行</t>
  </si>
  <si>
    <t>成农商青公流借20220107</t>
  </si>
  <si>
    <t>110030000203641</t>
  </si>
  <si>
    <r>
      <rPr>
        <sz val="11"/>
        <color theme="1"/>
        <rFont val="等线"/>
        <family val="3"/>
        <charset val="134"/>
        <scheme val="minor"/>
      </rPr>
      <t>是，2</t>
    </r>
    <r>
      <rPr>
        <sz val="11"/>
        <color theme="1"/>
        <rFont val="等线"/>
        <family val="3"/>
        <charset val="134"/>
        <scheme val="minor"/>
      </rPr>
      <t>023-11-6提前还款400万元</t>
    </r>
  </si>
  <si>
    <t>915101006675580611</t>
  </si>
  <si>
    <t>51050150860800004473中国建设银行股份有限公司成都金河支行</t>
  </si>
  <si>
    <t>H180401230116240</t>
  </si>
  <si>
    <t>J180401230116240001</t>
  </si>
  <si>
    <t>成都市青羊区行政审批局</t>
  </si>
  <si>
    <t>915101055826096328</t>
  </si>
  <si>
    <t>成都银行股份有限公司华兴支行 1001300001017659</t>
  </si>
  <si>
    <t>H310101220523880</t>
  </si>
  <si>
    <t>J310101220523880001</t>
  </si>
  <si>
    <t>H310101230614360</t>
  </si>
  <si>
    <t>J310101230614360001</t>
  </si>
  <si>
    <t>91510100723408675H</t>
  </si>
  <si>
    <t>其他股份有限公司（非上市）</t>
  </si>
  <si>
    <t>51001416108050700900(中国建设银行股份有限公司成都第一支行)</t>
  </si>
  <si>
    <t>0440200053-2022年(沙河)字04374号</t>
  </si>
  <si>
    <t>00020000140544640</t>
  </si>
  <si>
    <t>青羊区行政审批局</t>
  </si>
  <si>
    <t>91510100201990530P</t>
  </si>
  <si>
    <t>123946270064中国银行成都开发西区支行</t>
  </si>
  <si>
    <t>中国银行成都开发西区支行</t>
  </si>
  <si>
    <t>2023年开流贷字（501）096号</t>
  </si>
  <si>
    <t>邛崃市行政审批局</t>
  </si>
  <si>
    <t>91510183743648510M</t>
  </si>
  <si>
    <t>邛崃市税务局</t>
  </si>
  <si>
    <t>成都银行股份有限公司科技支行1001300000960143</t>
  </si>
  <si>
    <t>H180401230213300</t>
  </si>
  <si>
    <t>J180401230213300001</t>
  </si>
  <si>
    <r>
      <rPr>
        <sz val="11"/>
        <color theme="1"/>
        <rFont val="等线"/>
        <family val="3"/>
        <charset val="134"/>
        <scheme val="minor"/>
      </rPr>
      <t>是，2</t>
    </r>
    <r>
      <rPr>
        <sz val="11"/>
        <color theme="1"/>
        <rFont val="等线"/>
        <family val="3"/>
        <charset val="134"/>
        <scheme val="minor"/>
      </rPr>
      <t>023-12-4提前还款1000万元</t>
    </r>
  </si>
  <si>
    <t>915101837280728000</t>
  </si>
  <si>
    <t>其他有限公司</t>
  </si>
  <si>
    <t>1001300001064398成都银行股份有限公司科技支行</t>
  </si>
  <si>
    <t>H180401230213322</t>
  </si>
  <si>
    <t>J180401230213322001</t>
  </si>
  <si>
    <t>91510183663007932P</t>
  </si>
  <si>
    <t>国家税务总局邛崃市税务局</t>
  </si>
  <si>
    <t>1001300001064379(成都银行股份有限公司科技支行)</t>
  </si>
  <si>
    <t>H180401230213323</t>
  </si>
  <si>
    <t>J180401230213323001</t>
  </si>
  <si>
    <t>成都南环药业包装（集团）有限公司</t>
  </si>
  <si>
    <t>邛崃市市场监督管理局</t>
  </si>
  <si>
    <t>91510183621847490A</t>
  </si>
  <si>
    <t>账号：60032002213554900016  开户行：成都银行邛崃支行</t>
  </si>
  <si>
    <t>成都银行邛崃支行</t>
  </si>
  <si>
    <t>H600301221109860</t>
  </si>
  <si>
    <t>J600301221109860001</t>
  </si>
  <si>
    <t>是，2023-8-29提前还款850万元</t>
  </si>
  <si>
    <t>H600301221110880</t>
  </si>
  <si>
    <t>J600301221110880001</t>
  </si>
  <si>
    <t>是，2023-8-29提前还款900万元</t>
  </si>
  <si>
    <t>91510183564468899Q</t>
  </si>
  <si>
    <t>有限公司</t>
  </si>
  <si>
    <t>122610741206中国银行青羊支行</t>
  </si>
  <si>
    <t>成都青羊支行</t>
  </si>
  <si>
    <t>2023年中青中小借第105号</t>
  </si>
  <si>
    <t>2024.11.10</t>
  </si>
  <si>
    <t>四川天府新区市上行政审批局</t>
  </si>
  <si>
    <t>91510100MA61TPTT7W</t>
  </si>
  <si>
    <t>四川天府新区成都管委会国家税务局</t>
  </si>
  <si>
    <t>8111001014100147518中信银行股份有限公司成都武阳大道支行</t>
  </si>
  <si>
    <t>中国工商银行股份有限公司成都天府支行</t>
  </si>
  <si>
    <t>3个月</t>
  </si>
  <si>
    <t>0440202032-2023年(天府）字00019号</t>
  </si>
  <si>
    <t>00020000149808050</t>
  </si>
  <si>
    <t>是，2023-8-18提前还款1300万元</t>
  </si>
  <si>
    <t>成都银行股份有限公司成都益州大道支行</t>
  </si>
  <si>
    <t>H200501230519422</t>
  </si>
  <si>
    <t>J200501230519422001</t>
  </si>
  <si>
    <t>成都农村商业银行股份有限公司兴隆支行</t>
  </si>
  <si>
    <t>成农商天兴公借20230001</t>
  </si>
  <si>
    <t>110070000263058</t>
  </si>
  <si>
    <t>四川天府新区市上监督管理局</t>
  </si>
  <si>
    <t>91510100MA6C6XHY8X</t>
  </si>
  <si>
    <t>国家税务总局天府新区税务局</t>
  </si>
  <si>
    <t>101604209021128大连银行股份有限公司成都武侯支行</t>
  </si>
  <si>
    <t>H180401221215961</t>
  </si>
  <si>
    <t>J180401221215961001</t>
  </si>
  <si>
    <t>91510100MA673TDD9Y</t>
  </si>
  <si>
    <t>四川天府新区税务局</t>
  </si>
  <si>
    <t>128911806110606招商银行成都天顺路支行</t>
  </si>
  <si>
    <t>兴业银行股份有限公司成都分行</t>
  </si>
  <si>
    <t>兴银蓉（贷）2308第78664号</t>
  </si>
  <si>
    <t>431020100305727797</t>
  </si>
  <si>
    <t>成都银行股份有限公司天府新区分行</t>
  </si>
  <si>
    <t>H200501220920240</t>
  </si>
  <si>
    <t>J200501220920240001</t>
  </si>
  <si>
    <t>91510100MA61T0349K</t>
  </si>
  <si>
    <t>1001300000710959成都银行股份有限公司天府新区分行</t>
  </si>
  <si>
    <t>H200501220705521</t>
  </si>
  <si>
    <t>J200501220705521001</t>
  </si>
  <si>
    <t>成都市温江区市场监督管理局</t>
  </si>
  <si>
    <t>91510115790005323Q</t>
  </si>
  <si>
    <t>温江区税务局</t>
  </si>
  <si>
    <t>1000090002128586（成都农商银行股份有限公司温江金马分理处）</t>
  </si>
  <si>
    <t>成都农商银行股份有限公司温江金马分理处</t>
  </si>
  <si>
    <t>成农商温金公流借20220008</t>
  </si>
  <si>
    <t>00825592</t>
  </si>
  <si>
    <t>平台上查到此笔借款合同，借据金额为1300</t>
  </si>
  <si>
    <t>110040000206088</t>
  </si>
  <si>
    <t>00825599</t>
  </si>
  <si>
    <t>不属于新易贷产品</t>
  </si>
  <si>
    <t>700，向银行核实，不属于新易贷产品</t>
  </si>
  <si>
    <t>91510115201919224W</t>
  </si>
  <si>
    <t>国家税务总局成都市温江区税务局</t>
  </si>
  <si>
    <t>开户行：建设银行成都温江政通路支行（账号：51001837136051503123）</t>
  </si>
  <si>
    <t>成都农商银行温江支行</t>
  </si>
  <si>
    <t>17个月</t>
  </si>
  <si>
    <t>成农商温金公流借20230002</t>
  </si>
  <si>
    <t>No:00823272</t>
  </si>
  <si>
    <t>16个月</t>
  </si>
  <si>
    <t>00823264</t>
  </si>
  <si>
    <t>成都市温江区市场和监督管理局</t>
  </si>
  <si>
    <t>91510115792159190X</t>
  </si>
  <si>
    <t>51001837 13605150  072建行成都温江政通路支行</t>
  </si>
  <si>
    <t>成都农村商业银行股份有限公司崇州大划支行</t>
  </si>
  <si>
    <t>成农商崇大公流借20230004</t>
  </si>
  <si>
    <t>No 00910087</t>
  </si>
  <si>
    <t>511609017012015000000交通银行成都南二环路支行</t>
  </si>
  <si>
    <t>成都银行成华支行　</t>
  </si>
  <si>
    <t>H060101221228880</t>
  </si>
  <si>
    <t>7000000382</t>
  </si>
  <si>
    <t>是，
2023-12-15提前还款200万元</t>
  </si>
  <si>
    <t>91510115752848696P</t>
  </si>
  <si>
    <t>1001300000715491成都银行金河支行</t>
  </si>
  <si>
    <t>成都银行金河支行</t>
  </si>
  <si>
    <t>36个月</t>
  </si>
  <si>
    <t>H240101220623300</t>
  </si>
  <si>
    <t>J240101220623300001</t>
  </si>
  <si>
    <t>、</t>
  </si>
  <si>
    <t>借据单号</t>
  </si>
  <si>
    <t>91510132797817850Q</t>
  </si>
  <si>
    <t>新津区税务局</t>
  </si>
  <si>
    <t>4402255009100029458工行新津支行</t>
  </si>
  <si>
    <t>工行新津支行</t>
  </si>
  <si>
    <t>0440200114-2022年(新津)字00520号</t>
  </si>
  <si>
    <t>0440200114-2022年(借)字000404号、0440200114-2022年(借)字000405号、0440200114-2022年(借)字000407号</t>
  </si>
  <si>
    <t>是，
2023-12-7提前还款1000万元</t>
  </si>
  <si>
    <t>平台借据号为0440200114-2022年（借）字000404、405、407号</t>
  </si>
  <si>
    <t>0440200114-2023年(新津)字00168号</t>
  </si>
  <si>
    <t>0440200114-2023年(借)字000195号</t>
  </si>
  <si>
    <t>成都市新津区行政审批局</t>
  </si>
  <si>
    <t>91510132MA62MEJ84R</t>
  </si>
  <si>
    <t>国家税务总局成都市新津区税务局</t>
  </si>
  <si>
    <t>1000040006053942成都农村商业银行股份有限公司新津兴义支行</t>
  </si>
  <si>
    <t>兴蓉银(贷)2310第95210号</t>
  </si>
  <si>
    <t>无</t>
  </si>
  <si>
    <t>不成功，未匹配到有效数据</t>
  </si>
  <si>
    <t>平台借据号为431090100300124601</t>
  </si>
  <si>
    <t>91510132558981696Q</t>
  </si>
  <si>
    <t>成都市新津区</t>
  </si>
  <si>
    <t>130660258887中国银行新津支行</t>
  </si>
  <si>
    <t>公流贷字第ZH2200000133144号</t>
  </si>
  <si>
    <t>9922000000043120</t>
  </si>
  <si>
    <t>915101327253613000</t>
  </si>
  <si>
    <t>60112003219930300010成都银行新津支行</t>
  </si>
  <si>
    <t>成都银行新津支行</t>
  </si>
  <si>
    <t>H601101221209900</t>
  </si>
  <si>
    <t>J601101221209900001</t>
  </si>
  <si>
    <t>是，
2023-11-17提前还款2000万</t>
  </si>
  <si>
    <t>成都农商银行新津花桥支行</t>
  </si>
  <si>
    <t>15个月</t>
  </si>
  <si>
    <t>成农商津花桥公流借20230005</t>
  </si>
  <si>
    <t>00984677</t>
  </si>
  <si>
    <t>平台借据号为110000000336299</t>
  </si>
  <si>
    <t>新津区行政审批局</t>
  </si>
  <si>
    <t>91510132077658951Y</t>
  </si>
  <si>
    <t>国家税务总局新津县税务局</t>
  </si>
  <si>
    <t>1001300000261597成都银行新津支行</t>
  </si>
  <si>
    <t>H601101221103720</t>
  </si>
  <si>
    <t>J601101221103720001</t>
  </si>
  <si>
    <t>是，
2023-10-8提前还款2000万元</t>
  </si>
  <si>
    <t>915101323274208000</t>
  </si>
  <si>
    <t>国家税务总局新津税务局</t>
  </si>
  <si>
    <t>130682942793中国银行新津瑞通路支行</t>
  </si>
  <si>
    <t>中国工商银行成都新津支行</t>
  </si>
  <si>
    <t>0440200114-2023年(新津)字00281号</t>
  </si>
  <si>
    <t>0440200114-2023年(借)字000244号，0440200114-2023年(借)字000245号，0440200114-2023年(借)字000246号</t>
  </si>
  <si>
    <t>崇州市行政审批局　</t>
  </si>
  <si>
    <t>9151018458757036XW</t>
  </si>
  <si>
    <t>崇州税务局</t>
  </si>
  <si>
    <t>收款账号：511610018010210321008
开户行：交通银行成都双流棠湖支行</t>
  </si>
  <si>
    <t>中国民生银行崇州支行</t>
  </si>
  <si>
    <t>公流贷字第ZH2300000018280号</t>
  </si>
  <si>
    <t>ZX23000000426848</t>
  </si>
  <si>
    <t>公流贷字第
ZX22000000420778</t>
  </si>
  <si>
    <t>ZX22000000420778</t>
  </si>
  <si>
    <t>是，2023-5-18提前还款300万元</t>
  </si>
  <si>
    <t>中国工商银行崇州支行</t>
  </si>
  <si>
    <t xml:space="preserve"> 0440200094-2022年(崇州)字00990号</t>
  </si>
  <si>
    <t xml:space="preserve">0440200094-2022年(信)字000726号 </t>
  </si>
  <si>
    <t>纸质资料缺少借据</t>
  </si>
  <si>
    <t>0440200094-2022年(崇州)字00989号</t>
  </si>
  <si>
    <t>0440200094-2022年(信)字
000725号</t>
  </si>
  <si>
    <t>0440200094-2022年(崇州)字00988号</t>
  </si>
  <si>
    <t>0440200094-2022年(信)字
000724号</t>
  </si>
  <si>
    <t>是，2023-9-21，提前还款200万元</t>
  </si>
  <si>
    <t>崇州市行政审批局</t>
  </si>
  <si>
    <t>’915101846771753982</t>
  </si>
  <si>
    <t>国家税务总局崇州市税务局</t>
  </si>
  <si>
    <t>H200101230614100</t>
  </si>
  <si>
    <t>J200101230614100001</t>
  </si>
  <si>
    <t>四川省崇州市</t>
  </si>
  <si>
    <t>91510184720387485E</t>
  </si>
  <si>
    <t>H170101221227861</t>
  </si>
  <si>
    <t>J170101221227861001</t>
  </si>
  <si>
    <t>金堂县行政审批局</t>
  </si>
  <si>
    <t>91510100562018229T</t>
  </si>
  <si>
    <t>金堂县税务局</t>
  </si>
  <si>
    <t>公流贷字第ZH2200000142661号</t>
  </si>
  <si>
    <t>9922000000045753</t>
  </si>
  <si>
    <t>91510121350570652Q</t>
  </si>
  <si>
    <t>成都银行股份有限公司金堂支行</t>
  </si>
  <si>
    <t>H601301231225960</t>
  </si>
  <si>
    <t>J6013012312259600001</t>
  </si>
  <si>
    <t>计算尾差</t>
  </si>
  <si>
    <t>91510121069778048Y</t>
  </si>
  <si>
    <t>金堂县淮口税务局</t>
  </si>
  <si>
    <t>成都农村商业银行股份有限公司金堂云合分理处</t>
  </si>
  <si>
    <t>成农商堂云公续借20220002</t>
  </si>
  <si>
    <t>00937427</t>
  </si>
  <si>
    <t>是，2023-12-18提前还款220万元</t>
  </si>
  <si>
    <t>云商行堂云合借2022002</t>
  </si>
  <si>
    <t>00937426</t>
  </si>
  <si>
    <t>是，2023-12-18提前还款80万元</t>
  </si>
  <si>
    <t>00938709</t>
  </si>
  <si>
    <t>是，2023-12-18提前还款200万元</t>
  </si>
  <si>
    <t>金堂县市场监督管理局</t>
  </si>
  <si>
    <t>91510121394592829M</t>
  </si>
  <si>
    <t>私企</t>
  </si>
  <si>
    <t>中国工商银行金堂支行</t>
  </si>
  <si>
    <t>5个月</t>
  </si>
  <si>
    <t xml:space="preserve">0440200082-2022年(金堂)字00792号 </t>
  </si>
  <si>
    <t>0440200082-2022年(信)字000673号</t>
  </si>
  <si>
    <t>91510121MA6B25AP0L</t>
  </si>
  <si>
    <t>国有控股</t>
  </si>
  <si>
    <t>国家税务总局金堂税务局</t>
  </si>
  <si>
    <t>成都农商银行商业城支行</t>
  </si>
  <si>
    <t>成农商武商公流借20220013</t>
  </si>
  <si>
    <t>110080000213044</t>
  </si>
  <si>
    <t>龙泉驿区行政审批局</t>
  </si>
  <si>
    <t>91510112777488922H</t>
  </si>
  <si>
    <t>龙泉驿区税务局</t>
  </si>
  <si>
    <t>成都农商银行武侯支行</t>
  </si>
  <si>
    <t xml:space="preserve">成农商武兴公流借20230001 </t>
  </si>
  <si>
    <t>00880080</t>
  </si>
  <si>
    <t>截止日期不超过2023年12月31日</t>
  </si>
  <si>
    <t>915101002022363373</t>
  </si>
  <si>
    <t xml:space="preserve">成都农商银行龙泉驿支行 </t>
  </si>
  <si>
    <t xml:space="preserve">成农商驿泉公流借20230001 </t>
  </si>
  <si>
    <t>110080000231646</t>
  </si>
  <si>
    <t>2023年10月银行名字变更为龙泉驿蔚蓝花城支行</t>
  </si>
  <si>
    <t>成都国信中联汽车服务有限公司(曾用命：成都国信中联投资管理有限公司）</t>
  </si>
  <si>
    <t>91510104MA63B5CK4M</t>
  </si>
  <si>
    <t>651000132000046788四川天府银行成都分行</t>
  </si>
  <si>
    <t>中国民生银行股份有限公司成都建设路支行</t>
  </si>
  <si>
    <t>公六贷字第ZH2300000033017号</t>
  </si>
  <si>
    <t>9923000000008913</t>
  </si>
  <si>
    <t>是，每月21号还本金</t>
  </si>
  <si>
    <t>是，成都国信中联汽车服务有限公司(曾用命：成都国信中联投资管理有限公司）</t>
  </si>
  <si>
    <t>还本</t>
  </si>
  <si>
    <t>剩余本金</t>
  </si>
  <si>
    <t>龙泉驿区市场和质量监督管理局</t>
  </si>
  <si>
    <t>91510112MA6C4N0X37</t>
  </si>
  <si>
    <t>龙泉税务局第二税务所</t>
  </si>
  <si>
    <t>成都农商银行龙泉驿界牌分理处</t>
  </si>
  <si>
    <t>是，部分还款2023-7-9提前还款25万元</t>
  </si>
  <si>
    <t>龙泉驿区工商局</t>
  </si>
  <si>
    <t>91510112698859238N</t>
  </si>
  <si>
    <t>成都农商银行龙泉驿大面支行</t>
  </si>
  <si>
    <t>成农商驿大公流借20230001</t>
  </si>
  <si>
    <t>110050000235194</t>
  </si>
  <si>
    <t>成农商驿大公流借20230002</t>
  </si>
  <si>
    <t>110050000235207</t>
  </si>
  <si>
    <t>91510112MA6DFKEH4F</t>
  </si>
  <si>
    <t xml:space="preserve">中国工商银行成都滨江支行 </t>
  </si>
  <si>
    <t>0440200050-2022年(滨江)字02000号</t>
  </si>
  <si>
    <t>00020000130043910</t>
  </si>
  <si>
    <t>是，平台上无此条数据，为1笔贷款分段申报</t>
  </si>
  <si>
    <t>0440200050-2022年(滨江)字04037号</t>
  </si>
  <si>
    <t>00020000139368080</t>
  </si>
  <si>
    <t>91510112050096549J</t>
  </si>
  <si>
    <t>龙泉驿区税务局大面税务所</t>
  </si>
  <si>
    <t>成都农商银行龙泉驿洛带支行</t>
  </si>
  <si>
    <t xml:space="preserve">成农商驿洛公流借20220004 </t>
  </si>
  <si>
    <t>110000000225748/110040000250528/110090000236808/110020000242049/110020000232644/110070000227485</t>
  </si>
  <si>
    <t>是，平台上为多笔贷款组成</t>
  </si>
  <si>
    <t>110000000225748</t>
  </si>
  <si>
    <t>110070000227485</t>
  </si>
  <si>
    <t>110020000232644</t>
  </si>
  <si>
    <t>110090000236808</t>
  </si>
  <si>
    <t>110020000242049</t>
  </si>
  <si>
    <t>110040000250528</t>
  </si>
  <si>
    <t>91510112774526436M</t>
  </si>
  <si>
    <t>中国工商银行成都龙泉支行</t>
  </si>
  <si>
    <t xml:space="preserve">0440200063-2023年(龙泉)字02393号 </t>
  </si>
  <si>
    <t>0440200063-2023年(信)字001858号</t>
  </si>
  <si>
    <t>91510122MA6CTWY352</t>
  </si>
  <si>
    <t>成都农商银行青龙支行</t>
  </si>
  <si>
    <t>成农商龙公流借20230136</t>
  </si>
  <si>
    <t>110070000333867</t>
  </si>
  <si>
    <t>91510112768648971X</t>
  </si>
  <si>
    <t>外资企业</t>
  </si>
  <si>
    <t>0440200063-2023年(龙泉)字00938号</t>
  </si>
  <si>
    <t>0440200063-2023（借）字000910号、000911号</t>
  </si>
  <si>
    <t>龙泉驿区市场监督管理局</t>
  </si>
  <si>
    <t>91510112713029620K</t>
  </si>
  <si>
    <t xml:space="preserve">成都银行成华支行 </t>
  </si>
  <si>
    <t>H060101221025960</t>
  </si>
  <si>
    <t>J060101221025960001</t>
  </si>
  <si>
    <t>H060101231107360</t>
  </si>
  <si>
    <t>J060101231107360001</t>
  </si>
  <si>
    <t>91510112686314513P</t>
  </si>
  <si>
    <t>H060101221013821</t>
  </si>
  <si>
    <t xml:space="preserve">J060101221013821001 </t>
  </si>
  <si>
    <t>H060101231023100</t>
  </si>
  <si>
    <t>J060101231023100001</t>
  </si>
  <si>
    <t>91510112MA61RPYB03</t>
  </si>
  <si>
    <t>私营（有限责任公司）</t>
  </si>
  <si>
    <t>成农商驿公流借20230006</t>
  </si>
  <si>
    <t>110010000235898、110060000242009</t>
  </si>
  <si>
    <t>是，平台上为两笔分开核算</t>
  </si>
  <si>
    <t>915101122023431073</t>
  </si>
  <si>
    <t>中小微</t>
  </si>
  <si>
    <t>成都银行成华支行</t>
  </si>
  <si>
    <t>H060101231109420</t>
  </si>
  <si>
    <t>J060101231109420001</t>
  </si>
  <si>
    <t>成都市武侯区行政审批局</t>
  </si>
  <si>
    <t>91510107765355778Q</t>
  </si>
  <si>
    <t>成都市武侯区税务局</t>
  </si>
  <si>
    <t>成都银行资阳分行</t>
  </si>
  <si>
    <t>H606101221116824</t>
  </si>
  <si>
    <t>J606101221116824001</t>
  </si>
  <si>
    <t>是，2023-7-3提前还款2000万元</t>
  </si>
  <si>
    <t>H606101230629941</t>
  </si>
  <si>
    <t>J606101230629941001</t>
  </si>
  <si>
    <t>武侯区市场监督管理局</t>
  </si>
  <si>
    <t>91510107331994468H</t>
  </si>
  <si>
    <t>国家税务总局成都市武侯区税务局机投桥税务所</t>
  </si>
  <si>
    <t>中国工商银行成都草市支行</t>
  </si>
  <si>
    <t>0440200044-2022年(草市)字06312号</t>
  </si>
  <si>
    <t>0440200044-2022年(借)字004983号</t>
  </si>
  <si>
    <t>成都市工商行政管理部门</t>
  </si>
  <si>
    <t>915101077464493817</t>
  </si>
  <si>
    <t>国家税务总局成都市税务局第二税务分局纳税服务一科</t>
  </si>
  <si>
    <t>成都银行德盛支行</t>
  </si>
  <si>
    <t>H290101230616660</t>
  </si>
  <si>
    <t>J290101230616660001</t>
  </si>
  <si>
    <t>915100007958376047</t>
  </si>
  <si>
    <t>外商投资企业法人独资</t>
  </si>
  <si>
    <t>成都市武侯区国家税务局</t>
  </si>
  <si>
    <t>H310101230329720</t>
  </si>
  <si>
    <t>J310101230329720001</t>
  </si>
  <si>
    <t>91510000793961046H</t>
  </si>
  <si>
    <t>国家税务总局成都市武侯区税务局</t>
  </si>
  <si>
    <t>成都农商银行桂溪支行</t>
  </si>
  <si>
    <t xml:space="preserve">成农商武桂公流借20220003 </t>
  </si>
  <si>
    <t>110030000214913</t>
  </si>
  <si>
    <t>是，2023-12-26提前还款500万元</t>
  </si>
  <si>
    <t>91510107797810624X</t>
  </si>
  <si>
    <t>小型企业有限责任公司</t>
  </si>
  <si>
    <t>成农商武桂公流借20230003</t>
  </si>
  <si>
    <t>110060000227768</t>
  </si>
  <si>
    <t>缺少借据</t>
  </si>
  <si>
    <t>91510107584993463E</t>
  </si>
  <si>
    <t>H340101221213822</t>
  </si>
  <si>
    <t>J340101221213822001</t>
  </si>
  <si>
    <t>是，2023-11-21提前还款390万元</t>
  </si>
  <si>
    <t>915101077280662806</t>
  </si>
  <si>
    <t>国家税务总局成都市武侯区税务局第二税务所</t>
  </si>
  <si>
    <t>H310101230625561</t>
  </si>
  <si>
    <t>J310101230625561001</t>
  </si>
  <si>
    <t>成都市市场管理监督局</t>
  </si>
  <si>
    <t>9151010071603074X2</t>
  </si>
  <si>
    <t>中小型</t>
  </si>
  <si>
    <t>武侯区税务局</t>
  </si>
  <si>
    <t>公流贷字第ZH2300000027471号</t>
  </si>
  <si>
    <t>9923000000006755</t>
  </si>
  <si>
    <t>公流贷字第ZH2300000027475号</t>
  </si>
  <si>
    <t>9923000000006754</t>
  </si>
  <si>
    <t>公流贷字第ZX23030000268263号</t>
  </si>
  <si>
    <t>ZX23030000268263</t>
  </si>
  <si>
    <t>91510107567198652K</t>
  </si>
  <si>
    <t>国家税务总局成都市税务局</t>
  </si>
  <si>
    <t>成都农商银行杉板桥分理处</t>
  </si>
  <si>
    <t xml:space="preserve">成农商武杉公流借20220019 </t>
  </si>
  <si>
    <t>110080000215156</t>
  </si>
  <si>
    <t>成都银行玉林南路支行</t>
  </si>
  <si>
    <t>H210101221214382</t>
  </si>
  <si>
    <t>J210101221214382001</t>
  </si>
  <si>
    <t>915101077900312730</t>
  </si>
  <si>
    <t>成都银行武侯支行</t>
  </si>
  <si>
    <t>H170101230224660</t>
  </si>
  <si>
    <t>J170101230224660001</t>
  </si>
  <si>
    <t>是，2023-12-28提前还款1000万元</t>
  </si>
  <si>
    <t>缺少纸质借据</t>
  </si>
  <si>
    <t>H170101230329160</t>
  </si>
  <si>
    <t>J170101230329160001</t>
  </si>
  <si>
    <t>郫都区行政审批局</t>
  </si>
  <si>
    <t>91510124MA61U7R620</t>
  </si>
  <si>
    <t>中国工商银行成都郫都支行</t>
  </si>
  <si>
    <t>0440200544-2022年(郫县)字02627号</t>
  </si>
  <si>
    <t xml:space="preserve">0440200544-2022年(信)字001921号 </t>
  </si>
  <si>
    <t>是，2023-4-19提前还款70万元</t>
  </si>
  <si>
    <t>郫都区市场监督管理局</t>
  </si>
  <si>
    <t>91510124MA61R3PC1B</t>
  </si>
  <si>
    <t>郫都区税务局</t>
  </si>
  <si>
    <t xml:space="preserve">0440200544-2022年(郫县)字02710号 </t>
  </si>
  <si>
    <t xml:space="preserve">0440200544-2022年(信)字001995号  </t>
  </si>
  <si>
    <t>是，2022-12-5提前还款10万元</t>
  </si>
  <si>
    <t>是，利息支付表与实际支付利息不符（利息支付情况说明利息回单无法区分每笔利息）</t>
  </si>
  <si>
    <t>0440200544-2022年(郫县)字02620号</t>
  </si>
  <si>
    <t>0440200544-2022年(信)字001916号</t>
  </si>
  <si>
    <t>是，2022-12-5提前还款16万元</t>
  </si>
  <si>
    <t>是，利息支付表与实际支付利息不符</t>
  </si>
  <si>
    <t xml:space="preserve">0440200544-2022年(郫县)字02711号 </t>
  </si>
  <si>
    <t>0440200544-2022年(信)字001996号</t>
  </si>
  <si>
    <t>0440200544-2022年(郫县)字03039号</t>
  </si>
  <si>
    <t>0440200544-2022年(信)字002243号</t>
  </si>
  <si>
    <t>91510124564455174K</t>
  </si>
  <si>
    <t>成都农商银行金花支行</t>
  </si>
  <si>
    <t>成农商花公公流借20220052</t>
  </si>
  <si>
    <t xml:space="preserve">110030000218845  </t>
  </si>
  <si>
    <t>110000000231320</t>
  </si>
  <si>
    <t xml:space="preserve">成农商花公公流借20220052 </t>
  </si>
  <si>
    <t xml:space="preserve">110000000238185 </t>
  </si>
  <si>
    <t>91510124202498927Y</t>
  </si>
  <si>
    <t>个人独资企业</t>
  </si>
  <si>
    <t xml:space="preserve">成都农商银行郫都支行 </t>
  </si>
  <si>
    <t>成农商郫郫公流借20230011</t>
  </si>
  <si>
    <t>110050000278942</t>
  </si>
  <si>
    <t>91510124677188324Y</t>
  </si>
  <si>
    <t xml:space="preserve">中国工商银行成都郫都支行 </t>
  </si>
  <si>
    <t xml:space="preserve">0440200544-2022年(郫县)字02661号 </t>
  </si>
  <si>
    <t xml:space="preserve">0440200544-2022年(信)字001953号  </t>
  </si>
  <si>
    <t>是，2022-12-2提前还款100万元</t>
  </si>
  <si>
    <t>0440200544-2022年(郫县)字02826号</t>
  </si>
  <si>
    <t>0440200544-2022年(信)字002064号</t>
  </si>
  <si>
    <t>是，2023-1-30提前还款50万元</t>
  </si>
  <si>
    <t xml:space="preserve">0440200544-2022年(郫县)字02690号 </t>
  </si>
  <si>
    <t>0440200544-2022年(信)字001979号</t>
  </si>
  <si>
    <t>0440200544-2022年(郫县)字01984号</t>
  </si>
  <si>
    <t>0440200544-2022年(抵)字002158号</t>
  </si>
  <si>
    <t>是，2023-6-226提前还款270万元</t>
  </si>
  <si>
    <t>有产品备案，无此台账</t>
  </si>
  <si>
    <t>915101245564070566XB</t>
  </si>
  <si>
    <t xml:space="preserve">0440200044-2022年（草市）字07062号 </t>
  </si>
  <si>
    <t xml:space="preserve">0440200044-2023年（借）字000339号 </t>
  </si>
  <si>
    <t>是，2023-12-22提前还款1000万元</t>
  </si>
  <si>
    <t>9151012468456405XU</t>
  </si>
  <si>
    <t xml:space="preserve">成都银行郫都支行 </t>
  </si>
  <si>
    <t>H601001230602020</t>
  </si>
  <si>
    <t>J601001230602020001</t>
  </si>
  <si>
    <t>915101246721776268</t>
  </si>
  <si>
    <t xml:space="preserve">H601001231115741 </t>
  </si>
  <si>
    <t>J601001231115741001</t>
  </si>
  <si>
    <t>91510124782652176P</t>
  </si>
  <si>
    <t>成都市郫都区税务局　</t>
  </si>
  <si>
    <t xml:space="preserve">0440200544-2022年(郫县)字02489号 </t>
  </si>
  <si>
    <t>0440200544-2022年(信)字001809号</t>
  </si>
  <si>
    <t>成都银行天府新区分行</t>
  </si>
  <si>
    <t>H200501221201281</t>
  </si>
  <si>
    <t>J200501221201281001</t>
  </si>
  <si>
    <t>是，2023-11-9提前还款200万元</t>
  </si>
  <si>
    <t>郫都区行政审批局　</t>
  </si>
  <si>
    <t>91510124MA6C5QRW0D</t>
  </si>
  <si>
    <t xml:space="preserve">0440200544-2022年(郫县)字02911号 </t>
  </si>
  <si>
    <t>0440200544-2022年(信)字002137号</t>
  </si>
  <si>
    <t>是，2023-6-5提前还款160万元</t>
  </si>
  <si>
    <t>915101240500540015M</t>
  </si>
  <si>
    <t>郫都区国家税务局</t>
  </si>
  <si>
    <t>成都农商银行郫都支行</t>
  </si>
  <si>
    <t>成农商郫营公流借20230003</t>
  </si>
  <si>
    <t>110050000236363</t>
  </si>
  <si>
    <t>91510124755968263A</t>
  </si>
  <si>
    <t>H510701221025940</t>
  </si>
  <si>
    <t>J510701221025940001</t>
  </si>
  <si>
    <t>是，2023/10/17提前还款1000万元</t>
  </si>
  <si>
    <t>91510100572254006D</t>
  </si>
  <si>
    <t>11个月</t>
  </si>
  <si>
    <t>0440200544-2022年(郫县)字02675号</t>
  </si>
  <si>
    <t>0440200544-2022年(信)字001966号</t>
  </si>
  <si>
    <t>91510124771693570R</t>
  </si>
  <si>
    <t>H190101221208122</t>
  </si>
  <si>
    <t>J190101221208122001</t>
  </si>
  <si>
    <t>91510124720347942H</t>
  </si>
  <si>
    <t>0440200544-2023年(郫县)字01430号</t>
  </si>
  <si>
    <t>0440200544-2023年（借）字001152号</t>
  </si>
  <si>
    <t>915101247234011230</t>
  </si>
  <si>
    <t>H340101221213842</t>
  </si>
  <si>
    <t>J340101221213842001</t>
  </si>
  <si>
    <t>91510124MA6CP6RJ98</t>
  </si>
  <si>
    <t xml:space="preserve">0440200544-2022年(郫县)字02642号 </t>
  </si>
  <si>
    <t xml:space="preserve">0440200544-2022年(信)字001933号 </t>
  </si>
  <si>
    <t>是，2023/5/4提前还款100万元</t>
  </si>
  <si>
    <t>91510124054925455G</t>
  </si>
  <si>
    <t>成都银行郫都支行</t>
  </si>
  <si>
    <t>H601001230308020</t>
  </si>
  <si>
    <t xml:space="preserve">J601001230308020001 </t>
  </si>
  <si>
    <t>成都市新都区市场监督管理局</t>
  </si>
  <si>
    <t>915101147826533983</t>
  </si>
  <si>
    <t>成都市新都区税务局</t>
  </si>
  <si>
    <t>兴银蓉（贷）2311第67287号</t>
  </si>
  <si>
    <t xml:space="preserve">431350100300027765 </t>
  </si>
  <si>
    <t>91510114MA62QYCA2C</t>
  </si>
  <si>
    <t>成都农村商业银行股份有限公司新都支行</t>
  </si>
  <si>
    <t>成农商新公流借20230018</t>
  </si>
  <si>
    <t>110050000298742</t>
  </si>
  <si>
    <t>91510114MA61TJK9XW</t>
  </si>
  <si>
    <t>成都农村商业银行股份有限公司彭州支行</t>
  </si>
  <si>
    <t xml:space="preserve">成农商彭公流借20220060 </t>
  </si>
  <si>
    <t xml:space="preserve">110050000194396 </t>
  </si>
  <si>
    <t>91510114660492768D</t>
  </si>
  <si>
    <t>成都银行股份有限公司彭州支行</t>
  </si>
  <si>
    <t>H600801230628121</t>
  </si>
  <si>
    <t>J600801230628121001</t>
  </si>
  <si>
    <t>915101147900146920</t>
  </si>
  <si>
    <t>122555928604中国银行成都新都支行</t>
  </si>
  <si>
    <t>成都农村商业银行股份有限公司新都龙桥分理处</t>
  </si>
  <si>
    <t>成农商新桥公流借20230002</t>
  </si>
  <si>
    <t>110050000225133</t>
  </si>
  <si>
    <t xml:space="preserve">成农商新桥公流借20230002 </t>
  </si>
  <si>
    <t>110000000229548</t>
  </si>
  <si>
    <t>91510114327490742B</t>
  </si>
  <si>
    <t>4402035309000039679中国工商银行成都新都西南石油大学支行</t>
  </si>
  <si>
    <t>成都农村商业银行股份有限公司新都斑竹园支行</t>
  </si>
  <si>
    <t xml:space="preserve">成农商新斑公流借20230004 </t>
  </si>
  <si>
    <t>110010000229623</t>
  </si>
  <si>
    <t>915101143994217704</t>
  </si>
  <si>
    <t>H310101230104240</t>
  </si>
  <si>
    <t>J310101230104240001</t>
  </si>
  <si>
    <t>是，2023-12-20提前还款300万元</t>
  </si>
  <si>
    <t>J310101230104240002</t>
  </si>
  <si>
    <t>是，2023-12-20提前还款400万元</t>
  </si>
  <si>
    <t>10个月</t>
  </si>
  <si>
    <t>J310101230104240003</t>
  </si>
  <si>
    <t>915101146604618736</t>
  </si>
  <si>
    <t xml:space="preserve">成农商新桥公流借20220011 </t>
  </si>
  <si>
    <t>110010000222363</t>
  </si>
  <si>
    <t xml:space="preserve">成农商新桥公流借20220012 </t>
  </si>
  <si>
    <t>110090000225094</t>
  </si>
  <si>
    <t>91510108743641634K</t>
  </si>
  <si>
    <t xml:space="preserve">公流贷字第ZH2300000045254号 </t>
  </si>
  <si>
    <t>9923000000010732</t>
  </si>
  <si>
    <t>成都银行股份有限公司锦江支行</t>
  </si>
  <si>
    <t xml:space="preserve">H120101230616960 </t>
  </si>
  <si>
    <t>J120101230616960001</t>
  </si>
  <si>
    <t>91510114201959066C</t>
  </si>
  <si>
    <t xml:space="preserve">0440200053-2023年(沙河)字02201号 </t>
  </si>
  <si>
    <t>0440200053-2023年(借)字001860号</t>
  </si>
  <si>
    <t>915101142026063346</t>
  </si>
  <si>
    <t>成都农村商业银行股份有限公司新都石板滩支行</t>
  </si>
  <si>
    <t>成农商新石公流借20230002</t>
  </si>
  <si>
    <t xml:space="preserve">110010000226554 </t>
  </si>
  <si>
    <t>企业申报系同一条贷款合同分段计算</t>
  </si>
  <si>
    <t>91510114MA61RPDB75</t>
  </si>
  <si>
    <t>有限责任公司（自然人投资或控股的法人独资）</t>
  </si>
  <si>
    <t>H310101230112281</t>
  </si>
  <si>
    <t>J310101230112281001</t>
  </si>
  <si>
    <t>H310101221125641</t>
  </si>
  <si>
    <t>J310101221125641001</t>
  </si>
  <si>
    <t>是，2023/11/16提前还款2000万元</t>
  </si>
  <si>
    <t>91510125MA6ABJKG71</t>
  </si>
  <si>
    <t xml:space="preserve">成农商新石公流借20220024  </t>
  </si>
  <si>
    <t>110070000212417</t>
  </si>
  <si>
    <t>是，2023/12/11提前还款200万元</t>
  </si>
  <si>
    <t>91510000314426565D</t>
  </si>
  <si>
    <t>1001300000785928成都银行华兴支行</t>
  </si>
  <si>
    <t>H310101221102381</t>
  </si>
  <si>
    <t>J310101221102381001</t>
  </si>
  <si>
    <r>
      <rPr>
        <sz val="11"/>
        <color theme="1"/>
        <rFont val="等线"/>
        <family val="3"/>
        <charset val="134"/>
        <scheme val="minor"/>
      </rPr>
      <t>是、2</t>
    </r>
    <r>
      <rPr>
        <sz val="11"/>
        <color theme="1"/>
        <rFont val="等线"/>
        <family val="3"/>
        <charset val="134"/>
        <scheme val="minor"/>
      </rPr>
      <t>023-11-1提前还款1000万元</t>
    </r>
  </si>
  <si>
    <t>91510114MA697U516G</t>
  </si>
  <si>
    <t xml:space="preserve">0440200053-2022年(沙河)字04757号    </t>
  </si>
  <si>
    <t>0440200053-2023年(借)字000300号</t>
  </si>
  <si>
    <t>是，2023-12-25提前还款2000万元</t>
  </si>
  <si>
    <t>91510114725381381K</t>
  </si>
  <si>
    <t>成都农村商业银行股份有限公司新都龙虎分理处</t>
  </si>
  <si>
    <t xml:space="preserve">成农商新龙公流借20220023    </t>
  </si>
  <si>
    <t>110080000212544</t>
  </si>
  <si>
    <t>91510114MA69QBPP1X</t>
  </si>
  <si>
    <t>成农商新斑公流借20230010</t>
  </si>
  <si>
    <t>110020000244114</t>
  </si>
  <si>
    <t>110070000245677</t>
  </si>
  <si>
    <t>成都市双流区行政审批局局</t>
  </si>
  <si>
    <t>915101227130712396</t>
  </si>
  <si>
    <t>成都银行股份有限公司金牛支行</t>
  </si>
  <si>
    <t>H34010123112464</t>
  </si>
  <si>
    <t>J3401012311246410001</t>
  </si>
  <si>
    <t>91510122MA61WTENXR</t>
  </si>
  <si>
    <t>收款账号：4402939109100042983
开户行：中国工商银行成都府河音乐花园支行</t>
  </si>
  <si>
    <t>公流贷字第ZH2200000127842号</t>
  </si>
  <si>
    <t>992000000041737</t>
  </si>
  <si>
    <t>公流贷字第ZX22000000422363号</t>
  </si>
  <si>
    <t>ZX22000000422363</t>
  </si>
  <si>
    <t>2023-12-27提前还本50万元</t>
  </si>
  <si>
    <t>公流贷字第ZX23090000430042号</t>
  </si>
  <si>
    <t>ZX23090000430042</t>
  </si>
  <si>
    <t>91510100633135511R</t>
  </si>
  <si>
    <t>股份有限公司(非上市、自然人投资或控股)</t>
  </si>
  <si>
    <t>收款账号：02012010217017600017
开户行：成都银行双流支行</t>
  </si>
  <si>
    <t>中国工商银行股份有限公司成都双流支行</t>
  </si>
  <si>
    <t>10月</t>
  </si>
  <si>
    <t>0440200077-2022年(双流)字 00568号</t>
  </si>
  <si>
    <t>0440200077-2022年(借)字000962号</t>
  </si>
  <si>
    <t>是，2023-7-10提前还款1000万元</t>
  </si>
  <si>
    <t>中国工商银行双流分行</t>
  </si>
  <si>
    <t>0440200077-2022年(双流)字01536号</t>
  </si>
  <si>
    <t>0440200077-2022年(借)字001154号</t>
  </si>
  <si>
    <t>0440200077-2023年(双流)字01720号</t>
  </si>
  <si>
    <t>0440200077-2023年(借)字001264号</t>
  </si>
  <si>
    <t>平台显示，未匹配到有效结果</t>
  </si>
  <si>
    <t>91510122MA61TJJ85E</t>
  </si>
  <si>
    <t>收款账号：402249509100012602</t>
  </si>
  <si>
    <t>工行成都华府大道支行</t>
  </si>
  <si>
    <t>6月</t>
  </si>
  <si>
    <t>0440200077-2022年(双流)字01650号</t>
  </si>
  <si>
    <t>0440200077-2022年(借)字001155 号</t>
  </si>
  <si>
    <t>2023年4月13日提前还款</t>
  </si>
  <si>
    <t>0440200077-2022年(双流)字01657号</t>
  </si>
  <si>
    <t>0440200077-2022年(借)字001161号</t>
  </si>
  <si>
    <t>2023年4月23日提前还款</t>
  </si>
  <si>
    <t>915101227323595889</t>
  </si>
  <si>
    <t>收款账号：4402249019100200914
开户行：中国工商银行股份有限公司成都双流支行</t>
  </si>
  <si>
    <t>0440200077-2023年（双流）字00725号</t>
  </si>
  <si>
    <t>0440200077-2023年(借)字000547号</t>
  </si>
  <si>
    <t>平台借据号：0440200077-2023年(借)字000547号</t>
  </si>
  <si>
    <t>0440200077-2023年（借）字000740号</t>
  </si>
  <si>
    <t>平台借据号：0440200077-2023年（借）字000740号</t>
  </si>
  <si>
    <t>915101007092880052</t>
  </si>
  <si>
    <t>收款账号：1001300000753976
开户行：成都银行公兴支行</t>
  </si>
  <si>
    <t>成都银行股份有限公司双流支行</t>
  </si>
  <si>
    <t>H020101230427380</t>
  </si>
  <si>
    <t>J020101230427380001</t>
  </si>
  <si>
    <t>91510108331951281C</t>
  </si>
  <si>
    <t>收款账号：4402211209100013039
开户行：中国工商银行龙潭工业园区支行</t>
  </si>
  <si>
    <t>成都农村商业银行股份有限公司锦江支行</t>
  </si>
  <si>
    <t>13月</t>
  </si>
  <si>
    <t>成农商锦公流20230010</t>
  </si>
  <si>
    <t>00774962</t>
  </si>
  <si>
    <t>00774961</t>
  </si>
  <si>
    <t>91510122765389046J</t>
  </si>
  <si>
    <t xml:space="preserve">收款账号：51001527908050012384
开户行：建行双流分行 </t>
  </si>
  <si>
    <t>成都农村商业银行股份有限公司簇桥支行</t>
  </si>
  <si>
    <t>18月</t>
  </si>
  <si>
    <t>成都商簇-公流借20230046</t>
  </si>
  <si>
    <t>00739270</t>
  </si>
  <si>
    <t>成都商簇-公流借20230047</t>
  </si>
  <si>
    <t>00739268</t>
  </si>
  <si>
    <t>贷款发生日期以借据日期为准</t>
  </si>
  <si>
    <t>91510114MAACECL92U</t>
  </si>
  <si>
    <t>成农商高营公流借20220128</t>
  </si>
  <si>
    <t>00957211</t>
  </si>
  <si>
    <t>2023-3-20还款200万。2023-9-20还款200万</t>
  </si>
  <si>
    <t>91510114765372711T</t>
  </si>
  <si>
    <t>成都农商银行新都支行</t>
  </si>
  <si>
    <t xml:space="preserve">成农商新龙公流借20220020   </t>
  </si>
  <si>
    <t>110030000205758</t>
  </si>
  <si>
    <t>是，2023-11-9提前还款50万元</t>
  </si>
  <si>
    <t>91510122582616699R</t>
  </si>
  <si>
    <t>收款账号：125289305384
开户行：中行双流支行</t>
  </si>
  <si>
    <t>H020101221107480</t>
  </si>
  <si>
    <t>J020101221107480001</t>
  </si>
  <si>
    <t>是，部分还款2023/10/31还款1000万元</t>
  </si>
  <si>
    <t>彭州市市场监督管理局</t>
  </si>
  <si>
    <t>91510182052531866F</t>
  </si>
  <si>
    <t>彭州市税务局</t>
  </si>
  <si>
    <t>4402050519100064547(工行成都彭州朝阳南路支行)</t>
  </si>
  <si>
    <t>中国工商银行股份有限公司彭州支行</t>
  </si>
  <si>
    <t>半年</t>
  </si>
  <si>
    <r>
      <rPr>
        <sz val="11"/>
        <color theme="1"/>
        <rFont val="等线"/>
        <family val="3"/>
        <charset val="134"/>
        <scheme val="minor"/>
      </rPr>
      <t>0440200119-2022年</t>
    </r>
    <r>
      <rPr>
        <sz val="11"/>
        <color theme="1"/>
        <rFont val="等线"/>
        <family val="3"/>
        <charset val="134"/>
        <scheme val="minor"/>
      </rPr>
      <t>(</t>
    </r>
    <r>
      <rPr>
        <sz val="11"/>
        <color theme="1"/>
        <rFont val="等线"/>
        <family val="3"/>
        <charset val="134"/>
        <scheme val="minor"/>
      </rPr>
      <t>彭州)字01038号</t>
    </r>
  </si>
  <si>
    <t>0440200119-2022年(信)字000728号</t>
  </si>
  <si>
    <t>单位申报金额填列错误</t>
  </si>
  <si>
    <r>
      <rPr>
        <sz val="11"/>
        <color theme="1"/>
        <rFont val="等线"/>
        <family val="3"/>
        <charset val="134"/>
        <scheme val="minor"/>
      </rPr>
      <t>0440200119-2022年</t>
    </r>
    <r>
      <rPr>
        <sz val="11"/>
        <color theme="1"/>
        <rFont val="等线"/>
        <family val="3"/>
        <charset val="134"/>
        <scheme val="minor"/>
      </rPr>
      <t>(彭</t>
    </r>
    <r>
      <rPr>
        <sz val="11"/>
        <color theme="1"/>
        <rFont val="等线"/>
        <family val="3"/>
        <charset val="134"/>
        <scheme val="minor"/>
      </rPr>
      <t>州)字01042号</t>
    </r>
  </si>
  <si>
    <r>
      <rPr>
        <sz val="11"/>
        <color theme="1"/>
        <rFont val="等线"/>
        <family val="3"/>
        <charset val="134"/>
        <scheme val="minor"/>
      </rPr>
      <t>0440200119-2022年(信</t>
    </r>
    <r>
      <rPr>
        <sz val="11"/>
        <color theme="1"/>
        <rFont val="等线"/>
        <family val="3"/>
        <charset val="134"/>
        <scheme val="minor"/>
      </rPr>
      <t>)</t>
    </r>
    <r>
      <rPr>
        <sz val="11"/>
        <color theme="1"/>
        <rFont val="等线"/>
        <family val="3"/>
        <charset val="134"/>
        <scheme val="minor"/>
      </rPr>
      <t>字000731号</t>
    </r>
  </si>
  <si>
    <r>
      <rPr>
        <sz val="11"/>
        <color theme="1"/>
        <rFont val="等线"/>
        <family val="3"/>
        <charset val="134"/>
        <scheme val="minor"/>
      </rPr>
      <t>0440200119-2022年</t>
    </r>
    <r>
      <rPr>
        <sz val="11"/>
        <color theme="1"/>
        <rFont val="等线"/>
        <family val="3"/>
        <charset val="134"/>
        <scheme val="minor"/>
      </rPr>
      <t>(</t>
    </r>
    <r>
      <rPr>
        <sz val="11"/>
        <color theme="1"/>
        <rFont val="等线"/>
        <family val="3"/>
        <charset val="134"/>
        <scheme val="minor"/>
      </rPr>
      <t>彭州)字01034号</t>
    </r>
  </si>
  <si>
    <t>0440200119-2022年(信)字000724号</t>
  </si>
  <si>
    <t>彭州市行政审批局</t>
  </si>
  <si>
    <t>91510182MA62LA6A17</t>
  </si>
  <si>
    <t>交通银行彭州支行511609010018800016975</t>
  </si>
  <si>
    <t>成都银行彭州支行</t>
  </si>
  <si>
    <t>H600801230516600</t>
  </si>
  <si>
    <t>J600801230516600001</t>
  </si>
  <si>
    <t>915101823959197078</t>
  </si>
  <si>
    <t>1001300000618029 成都银行彭州支行</t>
  </si>
  <si>
    <t>H600801221014921</t>
  </si>
  <si>
    <t>J600801221014921001</t>
  </si>
  <si>
    <t>成都市青白江区行政审批和营商环境建设局</t>
  </si>
  <si>
    <t>91510113069773845C</t>
  </si>
  <si>
    <t>国营</t>
  </si>
  <si>
    <t>青白江区税务局城厢税务所</t>
  </si>
  <si>
    <t>511622013018800022220（交通银行成都青白江支行）</t>
  </si>
  <si>
    <t>成都银行股份有限公司武侯区支行</t>
  </si>
  <si>
    <r>
      <rPr>
        <sz val="11"/>
        <color theme="1"/>
        <rFont val="等线"/>
        <family val="3"/>
        <charset val="134"/>
        <scheme val="minor"/>
      </rPr>
      <t>H</t>
    </r>
    <r>
      <rPr>
        <sz val="11"/>
        <color theme="1"/>
        <rFont val="等线"/>
        <family val="3"/>
        <charset val="134"/>
        <scheme val="minor"/>
      </rPr>
      <t>170101221227860</t>
    </r>
  </si>
  <si>
    <t>J170101221227860001</t>
  </si>
  <si>
    <t>是，2023-11-29提前还款1000万</t>
  </si>
  <si>
    <t>H170101231208800</t>
  </si>
  <si>
    <t>J1701012312088000001</t>
  </si>
  <si>
    <r>
      <rPr>
        <b/>
        <sz val="12"/>
        <rFont val="SimHei"/>
        <family val="3"/>
      </rPr>
      <t>序号</t>
    </r>
  </si>
  <si>
    <r>
      <rPr>
        <b/>
        <sz val="12"/>
        <rFont val="SimHei"/>
        <family val="3"/>
      </rPr>
      <t>地区</t>
    </r>
  </si>
  <si>
    <r>
      <rPr>
        <b/>
        <sz val="12"/>
        <rFont val="SimHei"/>
        <family val="3"/>
      </rPr>
      <t>企业名称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</si>
</sst>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76" formatCode="0.00_ "/>
    <numFmt numFmtId="179" formatCode="0.0000"/>
    <numFmt numFmtId="180" formatCode="[$-F800]dddd\,\ mmmm\ dd\,\ yyyy"/>
    <numFmt numFmtId="181" formatCode="0.0%"/>
    <numFmt numFmtId="182" formatCode="yyyy/m/d;@"/>
    <numFmt numFmtId="183" formatCode="\-0.00"/>
    <numFmt numFmtId="184" formatCode="\-"/>
    <numFmt numFmtId="185" formatCode="0.00_);[Red]\(0.00\)"/>
    <numFmt numFmtId="186" formatCode="#,##0.00_);[Red]\(#,##0.00\)"/>
    <numFmt numFmtId="187" formatCode="0_);[Red]\(0\)"/>
    <numFmt numFmtId="188" formatCode="0_ "/>
  </numFmts>
  <fonts count="38">
    <font>
      <sz val="11"/>
      <color theme="1"/>
      <name val="等线"/>
      <charset val="134"/>
      <scheme val="minor"/>
    </font>
    <font>
      <b/>
      <sz val="20"/>
      <color theme="1"/>
      <name val="等线"/>
      <family val="3"/>
      <charset val="134"/>
    </font>
    <font>
      <sz val="9"/>
      <name val="SimHei"/>
      <family val="1"/>
    </font>
    <font>
      <sz val="10"/>
      <name val="Arial"/>
      <family val="2"/>
    </font>
    <font>
      <sz val="9"/>
      <name val="Arial"/>
      <family val="2"/>
    </font>
    <font>
      <sz val="10"/>
      <name val="SimHei"/>
      <family val="3"/>
    </font>
    <font>
      <sz val="10"/>
      <color theme="1"/>
      <name val="等线"/>
      <family val="3"/>
      <charset val="134"/>
    </font>
    <font>
      <sz val="11"/>
      <color theme="1"/>
      <name val="SimHei"/>
      <family val="3"/>
    </font>
    <font>
      <sz val="11"/>
      <color theme="1"/>
      <name val="宋体"/>
      <family val="3"/>
      <charset val="134"/>
    </font>
    <font>
      <sz val="11"/>
      <name val="等线"/>
      <family val="3"/>
      <charset val="134"/>
      <scheme val="minor"/>
    </font>
    <font>
      <b/>
      <sz val="11"/>
      <color theme="1"/>
      <name val="宋体"/>
      <family val="3"/>
      <charset val="134"/>
    </font>
    <font>
      <sz val="10.5"/>
      <color theme="1"/>
      <name val="Segoe UI"/>
      <family val="2"/>
    </font>
    <font>
      <sz val="11"/>
      <color rgb="FFC00000"/>
      <name val="等线"/>
      <family val="3"/>
      <charset val="134"/>
      <scheme val="minor"/>
    </font>
    <font>
      <sz val="8"/>
      <color theme="1"/>
      <name val="宋体"/>
      <family val="3"/>
      <charset val="134"/>
    </font>
    <font>
      <sz val="8"/>
      <color theme="1"/>
      <name val="黑体"/>
      <family val="3"/>
      <charset val="134"/>
    </font>
    <font>
      <sz val="11"/>
      <color indexed="8"/>
      <name val="等线"/>
      <family val="3"/>
      <charset val="134"/>
    </font>
    <font>
      <b/>
      <sz val="11"/>
      <color rgb="FF000000"/>
      <name val="宋体"/>
      <family val="3"/>
      <charset val="134"/>
    </font>
    <font>
      <sz val="11"/>
      <color rgb="FF000000"/>
      <name val="宋体"/>
      <family val="3"/>
      <charset val="134"/>
    </font>
    <font>
      <sz val="10"/>
      <color rgb="FF000000"/>
      <name val="等线"/>
      <family val="3"/>
      <charset val="134"/>
      <scheme val="minor"/>
    </font>
    <font>
      <sz val="11"/>
      <color rgb="FF000000"/>
      <name val="等线"/>
      <family val="3"/>
      <charset val="134"/>
      <scheme val="minor"/>
    </font>
    <font>
      <sz val="10"/>
      <color rgb="FF000000"/>
      <name val="Times New Roman"/>
      <family val="1"/>
    </font>
    <font>
      <sz val="10"/>
      <name val="等线"/>
      <family val="3"/>
      <charset val="134"/>
    </font>
    <font>
      <sz val="11"/>
      <color theme="1"/>
      <name val="等线"/>
      <family val="3"/>
      <charset val="134"/>
      <scheme val="minor"/>
    </font>
    <font>
      <sz val="10"/>
      <name val="Yu Gothic"/>
      <family val="2"/>
      <charset val="128"/>
    </font>
    <font>
      <sz val="10"/>
      <name val="SimSun"/>
      <charset val="134"/>
    </font>
    <font>
      <sz val="9"/>
      <name val="宋体"/>
      <family val="3"/>
      <charset val="134"/>
    </font>
    <font>
      <b/>
      <sz val="9"/>
      <name val="宋体"/>
      <family val="3"/>
      <charset val="134"/>
    </font>
    <font>
      <sz val="11"/>
      <color theme="1"/>
      <name val="等线"/>
      <family val="3"/>
      <charset val="134"/>
      <scheme val="minor"/>
    </font>
    <font>
      <sz val="9"/>
      <name val="SimHei"/>
      <family val="3"/>
    </font>
    <font>
      <sz val="11"/>
      <color theme="1"/>
      <name val="Times New Roman"/>
      <family val="1"/>
    </font>
    <font>
      <b/>
      <sz val="10"/>
      <color theme="1"/>
      <name val="Times New Roman"/>
      <family val="1"/>
    </font>
    <font>
      <sz val="9"/>
      <name val="等线"/>
      <family val="3"/>
      <charset val="134"/>
      <scheme val="minor"/>
    </font>
    <font>
      <sz val="18"/>
      <color theme="1"/>
      <name val="方正小标宋_GBK"/>
      <family val="4"/>
      <charset val="134"/>
    </font>
    <font>
      <sz val="12"/>
      <color theme="1"/>
      <name val="Times New Roman"/>
      <family val="1"/>
    </font>
    <font>
      <sz val="12"/>
      <color rgb="FF000000"/>
      <name val="方正仿宋_GBK"/>
      <family val="4"/>
      <charset val="134"/>
    </font>
    <font>
      <sz val="12"/>
      <color theme="1"/>
      <name val="方正仿宋_GBK"/>
      <family val="4"/>
      <charset val="134"/>
    </font>
    <font>
      <b/>
      <sz val="12"/>
      <name val="Times New Roman"/>
      <family val="1"/>
    </font>
    <font>
      <b/>
      <sz val="12"/>
      <name val="SimHei"/>
      <family val="3"/>
    </font>
  </fonts>
  <fills count="7">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00B0F0"/>
        <bgColor indexed="64"/>
      </patternFill>
    </fill>
    <fill>
      <patternFill patternType="solid">
        <fgColor rgb="FFC00000"/>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medium">
        <color rgb="FF000000"/>
      </right>
      <top/>
      <bottom/>
      <diagonal/>
    </border>
    <border>
      <left/>
      <right style="medium">
        <color auto="1"/>
      </right>
      <top/>
      <bottom style="medium">
        <color auto="1"/>
      </bottom>
      <diagonal/>
    </border>
  </borders>
  <cellStyleXfs count="6">
    <xf numFmtId="0" fontId="0" fillId="0" borderId="0"/>
    <xf numFmtId="43" fontId="27" fillId="0" borderId="0" applyFont="0" applyFill="0" applyBorder="0" applyAlignment="0" applyProtection="0">
      <alignment vertical="center"/>
    </xf>
    <xf numFmtId="9" fontId="27" fillId="0" borderId="0" applyFont="0" applyFill="0" applyBorder="0" applyAlignment="0" applyProtection="0">
      <alignment vertical="center"/>
    </xf>
    <xf numFmtId="9" fontId="27" fillId="0" borderId="0" applyFont="0" applyFill="0" applyBorder="0" applyAlignment="0" applyProtection="0">
      <alignment vertical="center"/>
    </xf>
    <xf numFmtId="0" fontId="27" fillId="0" borderId="0"/>
    <xf numFmtId="43" fontId="27" fillId="0" borderId="0" applyFont="0" applyFill="0" applyBorder="0" applyAlignment="0" applyProtection="0">
      <alignment vertical="center"/>
    </xf>
  </cellStyleXfs>
  <cellXfs count="183">
    <xf numFmtId="0" fontId="0" fillId="0" borderId="0" xfId="0"/>
    <xf numFmtId="0" fontId="0" fillId="2" borderId="0" xfId="0" applyFill="1" applyAlignment="1">
      <alignment vertical="center" wrapText="1"/>
    </xf>
    <xf numFmtId="0" fontId="0" fillId="0" borderId="0" xfId="0" applyAlignment="1">
      <alignment vertical="center" wrapText="1"/>
    </xf>
    <xf numFmtId="49" fontId="0" fillId="0" borderId="0" xfId="0" applyNumberFormat="1"/>
    <xf numFmtId="14" fontId="0" fillId="0" borderId="0" xfId="0" applyNumberFormat="1"/>
    <xf numFmtId="0" fontId="1" fillId="0" borderId="0" xfId="0" applyFont="1" applyAlignment="1">
      <alignment horizontal="center"/>
    </xf>
    <xf numFmtId="0" fontId="0" fillId="0" borderId="1" xfId="0" applyBorder="1" applyAlignment="1">
      <alignment horizontal="center" vertical="center"/>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vertical="center" wrapText="1"/>
    </xf>
    <xf numFmtId="0" fontId="0" fillId="0" borderId="1" xfId="0" applyBorder="1" applyAlignment="1">
      <alignment vertical="center" wrapText="1"/>
    </xf>
    <xf numFmtId="0" fontId="4" fillId="0" borderId="1" xfId="0" applyFont="1" applyBorder="1" applyAlignment="1">
      <alignment horizontal="center" vertical="center" wrapText="1"/>
    </xf>
    <xf numFmtId="49" fontId="0" fillId="0" borderId="1" xfId="0" applyNumberFormat="1" applyBorder="1" applyAlignment="1">
      <alignment horizontal="center" vertical="center" wrapText="1"/>
    </xf>
    <xf numFmtId="14" fontId="2"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4" fontId="0" fillId="3" borderId="1" xfId="0" applyNumberFormat="1" applyFill="1" applyBorder="1" applyAlignment="1">
      <alignment vertical="center" wrapText="1"/>
    </xf>
    <xf numFmtId="14" fontId="0" fillId="2" borderId="1" xfId="0" applyNumberFormat="1" applyFill="1" applyBorder="1" applyAlignment="1">
      <alignment vertical="center" wrapText="1"/>
    </xf>
    <xf numFmtId="49" fontId="0" fillId="0" borderId="1" xfId="0" applyNumberFormat="1" applyBorder="1" applyAlignment="1">
      <alignment vertical="center" wrapText="1"/>
    </xf>
    <xf numFmtId="14" fontId="0" fillId="0" borderId="1" xfId="0" applyNumberFormat="1" applyBorder="1" applyAlignment="1">
      <alignment vertical="center" wrapText="1"/>
    </xf>
    <xf numFmtId="14" fontId="6" fillId="0" borderId="1" xfId="0" applyNumberFormat="1" applyFont="1" applyBorder="1" applyAlignment="1">
      <alignment vertical="center" wrapText="1"/>
    </xf>
    <xf numFmtId="49" fontId="0" fillId="2" borderId="1" xfId="0" applyNumberFormat="1" applyFill="1" applyBorder="1" applyAlignment="1">
      <alignment vertical="center" wrapText="1"/>
    </xf>
    <xf numFmtId="0" fontId="7" fillId="0" borderId="1" xfId="0" applyFont="1" applyBorder="1" applyAlignment="1">
      <alignment horizontal="center" vertical="center" wrapText="1"/>
    </xf>
    <xf numFmtId="43" fontId="0" fillId="2" borderId="1" xfId="0" applyNumberFormat="1" applyFill="1" applyBorder="1" applyAlignment="1">
      <alignment vertical="center" wrapText="1"/>
    </xf>
    <xf numFmtId="10" fontId="0" fillId="2" borderId="1" xfId="0" applyNumberFormat="1" applyFill="1" applyBorder="1" applyAlignment="1">
      <alignment vertical="center" wrapText="1"/>
    </xf>
    <xf numFmtId="10" fontId="0" fillId="2" borderId="1" xfId="2" applyNumberFormat="1" applyFont="1" applyFill="1" applyBorder="1" applyAlignment="1">
      <alignment vertical="center" wrapText="1"/>
    </xf>
    <xf numFmtId="43" fontId="6" fillId="0" borderId="1" xfId="1" applyFont="1" applyBorder="1" applyAlignment="1">
      <alignment vertical="center" wrapText="1"/>
    </xf>
    <xf numFmtId="0" fontId="8" fillId="0" borderId="1" xfId="0" applyFont="1" applyBorder="1" applyAlignment="1">
      <alignment horizontal="center" vertical="center" wrapText="1"/>
    </xf>
    <xf numFmtId="0" fontId="2" fillId="0" borderId="0" xfId="0" applyFont="1" applyAlignment="1">
      <alignment horizontal="center" vertical="center" wrapText="1"/>
    </xf>
    <xf numFmtId="179" fontId="0" fillId="2" borderId="0" xfId="0" applyNumberFormat="1" applyFill="1" applyAlignment="1">
      <alignment vertical="center" wrapText="1"/>
    </xf>
    <xf numFmtId="43" fontId="0" fillId="0" borderId="1" xfId="1" applyFont="1" applyBorder="1" applyAlignment="1">
      <alignment vertical="center" wrapText="1"/>
    </xf>
    <xf numFmtId="0" fontId="0" fillId="4" borderId="1" xfId="0" applyFill="1" applyBorder="1" applyAlignment="1">
      <alignment vertical="center" wrapText="1"/>
    </xf>
    <xf numFmtId="9" fontId="0" fillId="2" borderId="1" xfId="2" applyFont="1" applyFill="1" applyBorder="1" applyAlignment="1">
      <alignment vertical="center" wrapText="1"/>
    </xf>
    <xf numFmtId="49" fontId="0" fillId="4" borderId="1" xfId="0" applyNumberFormat="1" applyFill="1" applyBorder="1" applyAlignment="1">
      <alignment vertical="center" wrapText="1"/>
    </xf>
    <xf numFmtId="43" fontId="0" fillId="3" borderId="1" xfId="0" applyNumberFormat="1" applyFill="1" applyBorder="1" applyAlignment="1">
      <alignment vertical="center" wrapText="1"/>
    </xf>
    <xf numFmtId="0" fontId="27" fillId="2" borderId="0" xfId="4" applyFill="1" applyAlignment="1">
      <alignment vertical="center" wrapText="1"/>
    </xf>
    <xf numFmtId="0" fontId="27" fillId="0" borderId="0" xfId="4" applyAlignment="1">
      <alignment vertical="center" wrapText="1"/>
    </xf>
    <xf numFmtId="0" fontId="27" fillId="0" borderId="0" xfId="4"/>
    <xf numFmtId="49" fontId="27" fillId="0" borderId="0" xfId="4" applyNumberFormat="1"/>
    <xf numFmtId="14" fontId="27" fillId="0" borderId="0" xfId="4" applyNumberFormat="1"/>
    <xf numFmtId="0" fontId="1" fillId="0" borderId="0" xfId="4" applyFont="1" applyAlignment="1">
      <alignment horizontal="center"/>
    </xf>
    <xf numFmtId="0" fontId="27" fillId="0" borderId="1" xfId="4" applyBorder="1" applyAlignment="1">
      <alignment horizontal="center" vertical="center"/>
    </xf>
    <xf numFmtId="0" fontId="2" fillId="0" borderId="1" xfId="4" applyFont="1" applyBorder="1" applyAlignment="1">
      <alignment horizontal="center" vertical="center" wrapText="1"/>
    </xf>
    <xf numFmtId="0" fontId="27" fillId="0" borderId="1" xfId="4" applyBorder="1" applyAlignment="1">
      <alignment horizontal="center" vertical="center" wrapText="1"/>
    </xf>
    <xf numFmtId="0" fontId="27" fillId="2" borderId="1" xfId="4" applyFill="1" applyBorder="1" applyAlignment="1">
      <alignment vertical="center" wrapText="1"/>
    </xf>
    <xf numFmtId="0" fontId="27" fillId="0" borderId="1" xfId="4" applyBorder="1" applyAlignment="1">
      <alignment vertical="center" wrapText="1"/>
    </xf>
    <xf numFmtId="0" fontId="4" fillId="0" borderId="1" xfId="4" applyFont="1" applyBorder="1" applyAlignment="1">
      <alignment horizontal="center" vertical="center" wrapText="1"/>
    </xf>
    <xf numFmtId="49" fontId="27" fillId="0" borderId="1" xfId="4" applyNumberFormat="1" applyBorder="1" applyAlignment="1">
      <alignment horizontal="center" vertical="center" wrapText="1"/>
    </xf>
    <xf numFmtId="14" fontId="2" fillId="0" borderId="1" xfId="4" applyNumberFormat="1" applyFont="1" applyBorder="1" applyAlignment="1">
      <alignment horizontal="center" vertical="center" wrapText="1"/>
    </xf>
    <xf numFmtId="0" fontId="5" fillId="0" borderId="1" xfId="4" applyFont="1" applyBorder="1" applyAlignment="1">
      <alignment horizontal="center" vertical="center" wrapText="1"/>
    </xf>
    <xf numFmtId="49" fontId="27" fillId="2" borderId="1" xfId="4" applyNumberFormat="1" applyFill="1" applyBorder="1" applyAlignment="1">
      <alignment vertical="center" wrapText="1"/>
    </xf>
    <xf numFmtId="14" fontId="27" fillId="2" borderId="1" xfId="4" applyNumberFormat="1" applyFill="1" applyBorder="1" applyAlignment="1">
      <alignment vertical="center" wrapText="1"/>
    </xf>
    <xf numFmtId="49" fontId="27" fillId="0" borderId="1" xfId="4" applyNumberFormat="1" applyBorder="1" applyAlignment="1">
      <alignment vertical="center" wrapText="1"/>
    </xf>
    <xf numFmtId="14" fontId="27" fillId="0" borderId="1" xfId="4" applyNumberFormat="1" applyBorder="1" applyAlignment="1">
      <alignment vertical="center" wrapText="1"/>
    </xf>
    <xf numFmtId="14" fontId="6" fillId="0" borderId="1" xfId="4" applyNumberFormat="1" applyFont="1" applyBorder="1" applyAlignment="1">
      <alignment vertical="center" wrapText="1"/>
    </xf>
    <xf numFmtId="0" fontId="7" fillId="0" borderId="1" xfId="4" applyFont="1" applyBorder="1" applyAlignment="1">
      <alignment horizontal="center" vertical="center" wrapText="1"/>
    </xf>
    <xf numFmtId="43" fontId="27" fillId="2" borderId="1" xfId="4" applyNumberFormat="1" applyFill="1" applyBorder="1" applyAlignment="1">
      <alignment vertical="center" wrapText="1"/>
    </xf>
    <xf numFmtId="10" fontId="27" fillId="2" borderId="1" xfId="4" applyNumberFormat="1" applyFill="1" applyBorder="1" applyAlignment="1">
      <alignment vertical="center" wrapText="1"/>
    </xf>
    <xf numFmtId="10" fontId="0" fillId="2" borderId="1" xfId="3" applyNumberFormat="1" applyFont="1" applyFill="1" applyBorder="1" applyAlignment="1">
      <alignment vertical="center" wrapText="1"/>
    </xf>
    <xf numFmtId="43" fontId="6" fillId="0" borderId="1" xfId="5" applyFont="1" applyBorder="1" applyAlignment="1">
      <alignment vertical="center" wrapText="1"/>
    </xf>
    <xf numFmtId="0" fontId="8" fillId="0" borderId="1" xfId="4" applyFont="1" applyBorder="1" applyAlignment="1">
      <alignment horizontal="center" vertical="center" wrapText="1"/>
    </xf>
    <xf numFmtId="0" fontId="2" fillId="0" borderId="0" xfId="4" applyFont="1" applyAlignment="1">
      <alignment horizontal="center" vertical="center" wrapText="1"/>
    </xf>
    <xf numFmtId="179" fontId="27" fillId="2" borderId="0" xfId="4" applyNumberFormat="1" applyFill="1" applyAlignment="1">
      <alignment vertical="center" wrapText="1"/>
    </xf>
    <xf numFmtId="43" fontId="0" fillId="0" borderId="1" xfId="5" applyFont="1" applyBorder="1" applyAlignment="1">
      <alignment vertical="center" wrapText="1"/>
    </xf>
    <xf numFmtId="0" fontId="27" fillId="4" borderId="1" xfId="4" applyFill="1" applyBorder="1" applyAlignment="1">
      <alignment vertical="center" wrapText="1"/>
    </xf>
    <xf numFmtId="9" fontId="0" fillId="2" borderId="1" xfId="3" applyFont="1" applyFill="1" applyBorder="1" applyAlignment="1">
      <alignment vertical="center" wrapText="1"/>
    </xf>
    <xf numFmtId="31" fontId="27" fillId="2" borderId="1" xfId="4" applyNumberFormat="1" applyFill="1" applyBorder="1" applyAlignment="1">
      <alignment vertical="center" wrapText="1"/>
    </xf>
    <xf numFmtId="43" fontId="0" fillId="2" borderId="1" xfId="5" applyFont="1" applyFill="1" applyBorder="1" applyAlignment="1">
      <alignment vertical="center" wrapText="1"/>
    </xf>
    <xf numFmtId="181" fontId="0" fillId="2" borderId="1" xfId="3" applyNumberFormat="1" applyFont="1" applyFill="1" applyBorder="1" applyAlignment="1">
      <alignment vertical="center" wrapText="1"/>
    </xf>
    <xf numFmtId="14" fontId="27" fillId="3" borderId="1" xfId="4" applyNumberFormat="1" applyFill="1" applyBorder="1" applyAlignment="1">
      <alignment vertical="center" wrapText="1"/>
    </xf>
    <xf numFmtId="43" fontId="6" fillId="3" borderId="1" xfId="5" applyFont="1" applyFill="1" applyBorder="1" applyAlignment="1">
      <alignment vertical="center" wrapText="1"/>
    </xf>
    <xf numFmtId="49" fontId="27" fillId="4" borderId="1" xfId="4" applyNumberFormat="1" applyFill="1" applyBorder="1" applyAlignment="1">
      <alignment vertical="center" wrapText="1"/>
    </xf>
    <xf numFmtId="0" fontId="27" fillId="2" borderId="1" xfId="4" applyFill="1" applyBorder="1" applyAlignment="1">
      <alignment horizontal="center" vertical="center" wrapText="1"/>
    </xf>
    <xf numFmtId="0" fontId="27" fillId="0" borderId="0" xfId="4" applyAlignment="1">
      <alignment horizontal="center"/>
    </xf>
    <xf numFmtId="182" fontId="27" fillId="0" borderId="0" xfId="4" applyNumberFormat="1"/>
    <xf numFmtId="182" fontId="5" fillId="0" borderId="1" xfId="4" applyNumberFormat="1" applyFont="1" applyBorder="1" applyAlignment="1">
      <alignment horizontal="center" vertical="center" wrapText="1"/>
    </xf>
    <xf numFmtId="182" fontId="6" fillId="0" borderId="1" xfId="4" applyNumberFormat="1" applyFont="1" applyBorder="1" applyAlignment="1">
      <alignment vertical="center" wrapText="1"/>
    </xf>
    <xf numFmtId="182" fontId="27" fillId="2" borderId="1" xfId="4" applyNumberFormat="1" applyFill="1" applyBorder="1" applyAlignment="1">
      <alignment vertical="center" wrapText="1"/>
    </xf>
    <xf numFmtId="10" fontId="9" fillId="2" borderId="1" xfId="3" applyNumberFormat="1" applyFont="1" applyFill="1" applyBorder="1" applyAlignment="1">
      <alignment horizontal="center" vertical="center" wrapText="1"/>
    </xf>
    <xf numFmtId="183" fontId="6" fillId="0" borderId="1" xfId="5" applyNumberFormat="1" applyFont="1" applyBorder="1" applyAlignment="1">
      <alignment vertical="center" wrapText="1"/>
    </xf>
    <xf numFmtId="10" fontId="0" fillId="2" borderId="1" xfId="3" applyNumberFormat="1" applyFont="1" applyFill="1" applyBorder="1" applyAlignment="1">
      <alignment horizontal="center" vertical="center" wrapText="1"/>
    </xf>
    <xf numFmtId="0" fontId="10" fillId="0" borderId="1" xfId="4" applyFont="1" applyBorder="1" applyAlignment="1">
      <alignment horizontal="center" vertical="center" wrapText="1"/>
    </xf>
    <xf numFmtId="9" fontId="0" fillId="2" borderId="1" xfId="3" applyFont="1" applyFill="1" applyBorder="1" applyAlignment="1">
      <alignment horizontal="center" vertical="center" wrapText="1"/>
    </xf>
    <xf numFmtId="13" fontId="6" fillId="0" borderId="1" xfId="5" applyNumberFormat="1" applyFont="1" applyBorder="1" applyAlignment="1">
      <alignment vertical="center" wrapText="1"/>
    </xf>
    <xf numFmtId="180" fontId="27" fillId="2" borderId="1" xfId="4" applyNumberFormat="1" applyFill="1" applyBorder="1" applyAlignment="1">
      <alignment vertical="center" wrapText="1"/>
    </xf>
    <xf numFmtId="176" fontId="27" fillId="2" borderId="1" xfId="4" applyNumberFormat="1" applyFill="1" applyBorder="1" applyAlignment="1">
      <alignment vertical="center" wrapText="1"/>
    </xf>
    <xf numFmtId="180" fontId="27" fillId="0" borderId="1" xfId="4" applyNumberFormat="1" applyBorder="1" applyAlignment="1">
      <alignment vertical="center" wrapText="1"/>
    </xf>
    <xf numFmtId="49" fontId="11" fillId="0" borderId="0" xfId="0" applyNumberFormat="1" applyFont="1"/>
    <xf numFmtId="0" fontId="12" fillId="2" borderId="1" xfId="4" applyFont="1" applyFill="1" applyBorder="1" applyAlignment="1">
      <alignment vertical="center" wrapText="1"/>
    </xf>
    <xf numFmtId="10" fontId="12" fillId="2" borderId="1" xfId="3" applyNumberFormat="1" applyFont="1" applyFill="1" applyBorder="1" applyAlignment="1">
      <alignment horizontal="center" vertical="center" wrapText="1"/>
    </xf>
    <xf numFmtId="0" fontId="0" fillId="0" borderId="0" xfId="0" applyAlignment="1">
      <alignment vertical="center"/>
    </xf>
    <xf numFmtId="31" fontId="13" fillId="0" borderId="0" xfId="0" applyNumberFormat="1" applyFont="1" applyAlignment="1">
      <alignment vertical="center" wrapText="1"/>
    </xf>
    <xf numFmtId="0" fontId="13" fillId="0" borderId="0" xfId="0" applyFont="1" applyAlignment="1">
      <alignment vertical="center" wrapText="1"/>
    </xf>
    <xf numFmtId="14" fontId="14" fillId="0" borderId="1" xfId="0" applyNumberFormat="1" applyFont="1" applyBorder="1" applyAlignment="1">
      <alignment horizontal="center" vertical="center" wrapText="1"/>
    </xf>
    <xf numFmtId="43" fontId="27" fillId="0" borderId="0" xfId="4" applyNumberFormat="1" applyAlignment="1">
      <alignment vertical="center" wrapText="1"/>
    </xf>
    <xf numFmtId="2" fontId="6" fillId="0" borderId="1" xfId="5" applyNumberFormat="1" applyFont="1" applyBorder="1" applyAlignment="1">
      <alignment vertical="center" wrapText="1"/>
    </xf>
    <xf numFmtId="41" fontId="27" fillId="2" borderId="1" xfId="4" applyNumberFormat="1" applyFill="1" applyBorder="1" applyAlignment="1">
      <alignment vertical="center" wrapText="1"/>
    </xf>
    <xf numFmtId="0" fontId="27" fillId="3" borderId="1" xfId="4" applyFill="1" applyBorder="1" applyAlignment="1">
      <alignment vertical="center" wrapText="1"/>
    </xf>
    <xf numFmtId="0" fontId="27" fillId="0" borderId="0" xfId="4" applyAlignment="1">
      <alignment vertical="center"/>
    </xf>
    <xf numFmtId="49" fontId="5" fillId="0" borderId="1" xfId="4" applyNumberFormat="1" applyFont="1" applyBorder="1" applyAlignment="1">
      <alignment horizontal="center" vertical="center" wrapText="1"/>
    </xf>
    <xf numFmtId="49" fontId="27" fillId="3" borderId="1" xfId="4" applyNumberFormat="1" applyFill="1" applyBorder="1" applyAlignment="1">
      <alignment vertical="center" wrapText="1"/>
    </xf>
    <xf numFmtId="184" fontId="27" fillId="2" borderId="1" xfId="4" applyNumberFormat="1" applyFill="1" applyBorder="1" applyAlignment="1">
      <alignment vertical="center" wrapText="1"/>
    </xf>
    <xf numFmtId="0" fontId="27" fillId="3" borderId="1" xfId="4" applyFill="1" applyBorder="1" applyAlignment="1">
      <alignment horizontal="center" vertical="center" wrapText="1"/>
    </xf>
    <xf numFmtId="40" fontId="6" fillId="0" borderId="1" xfId="5" applyNumberFormat="1" applyFont="1" applyBorder="1" applyAlignment="1">
      <alignment vertical="center" wrapText="1"/>
    </xf>
    <xf numFmtId="43" fontId="27" fillId="0" borderId="1" xfId="4" applyNumberFormat="1" applyBorder="1" applyAlignment="1">
      <alignment vertical="center" wrapText="1"/>
    </xf>
    <xf numFmtId="0" fontId="27" fillId="4" borderId="0" xfId="4" applyFill="1" applyAlignment="1">
      <alignment vertical="center" wrapText="1"/>
    </xf>
    <xf numFmtId="0" fontId="27" fillId="4" borderId="1" xfId="4" applyFill="1" applyBorder="1" applyAlignment="1">
      <alignment horizontal="center" vertical="center" wrapText="1"/>
    </xf>
    <xf numFmtId="14" fontId="27" fillId="4" borderId="1" xfId="4" applyNumberFormat="1" applyFill="1" applyBorder="1" applyAlignment="1">
      <alignment vertical="center" wrapText="1"/>
    </xf>
    <xf numFmtId="182" fontId="6" fillId="4" borderId="1" xfId="4" applyNumberFormat="1" applyFont="1" applyFill="1" applyBorder="1" applyAlignment="1">
      <alignment vertical="center" wrapText="1"/>
    </xf>
    <xf numFmtId="43" fontId="6" fillId="4" borderId="1" xfId="5" applyFont="1" applyFill="1" applyBorder="1" applyAlignment="1">
      <alignment vertical="center" wrapText="1"/>
    </xf>
    <xf numFmtId="43" fontId="12" fillId="2" borderId="1" xfId="4" applyNumberFormat="1" applyFont="1" applyFill="1" applyBorder="1" applyAlignment="1">
      <alignment vertical="center" wrapText="1"/>
    </xf>
    <xf numFmtId="43" fontId="6" fillId="0" borderId="1" xfId="5" applyFont="1" applyFill="1" applyBorder="1" applyAlignment="1">
      <alignment vertical="center" wrapText="1"/>
    </xf>
    <xf numFmtId="183" fontId="6" fillId="0" borderId="1" xfId="5" applyNumberFormat="1" applyFont="1" applyFill="1" applyBorder="1" applyAlignment="1">
      <alignment vertical="center" wrapText="1"/>
    </xf>
    <xf numFmtId="14" fontId="6" fillId="4" borderId="1" xfId="0" applyNumberFormat="1" applyFont="1" applyFill="1" applyBorder="1" applyAlignment="1">
      <alignment vertical="center" wrapText="1"/>
    </xf>
    <xf numFmtId="43" fontId="0" fillId="0" borderId="1" xfId="0" applyNumberFormat="1" applyBorder="1" applyAlignment="1">
      <alignment vertical="center" wrapText="1"/>
    </xf>
    <xf numFmtId="43" fontId="6" fillId="3" borderId="1" xfId="1" applyFont="1" applyFill="1" applyBorder="1" applyAlignment="1">
      <alignment vertical="center" wrapText="1"/>
    </xf>
    <xf numFmtId="14" fontId="0" fillId="4" borderId="1" xfId="0" applyNumberFormat="1" applyFill="1" applyBorder="1" applyAlignment="1">
      <alignment vertical="center" wrapText="1"/>
    </xf>
    <xf numFmtId="185" fontId="0" fillId="0" borderId="1" xfId="0" applyNumberFormat="1" applyBorder="1" applyAlignment="1">
      <alignment vertical="center" wrapText="1"/>
    </xf>
    <xf numFmtId="43" fontId="6" fillId="4" borderId="1" xfId="1" applyFont="1" applyFill="1" applyBorder="1" applyAlignment="1">
      <alignment vertical="center" wrapText="1"/>
    </xf>
    <xf numFmtId="43" fontId="15" fillId="0" borderId="1" xfId="0" applyNumberFormat="1" applyFont="1" applyBorder="1" applyAlignment="1">
      <alignment vertical="center" wrapText="1"/>
    </xf>
    <xf numFmtId="0" fontId="0" fillId="3" borderId="1" xfId="0" applyFill="1" applyBorder="1" applyAlignment="1">
      <alignment vertical="center" wrapText="1"/>
    </xf>
    <xf numFmtId="186" fontId="0" fillId="0" borderId="0" xfId="0" applyNumberFormat="1"/>
    <xf numFmtId="186" fontId="0" fillId="2" borderId="0" xfId="0" applyNumberFormat="1" applyFill="1" applyAlignment="1">
      <alignment vertical="center" wrapText="1"/>
    </xf>
    <xf numFmtId="186" fontId="0" fillId="0" borderId="0" xfId="0" applyNumberFormat="1" applyAlignment="1">
      <alignment vertical="center" wrapText="1"/>
    </xf>
    <xf numFmtId="14" fontId="0" fillId="5" borderId="1" xfId="0" applyNumberFormat="1" applyFill="1" applyBorder="1" applyAlignment="1">
      <alignment vertical="center" wrapText="1"/>
    </xf>
    <xf numFmtId="0" fontId="0" fillId="5" borderId="1" xfId="0" applyFill="1" applyBorder="1" applyAlignment="1">
      <alignment vertical="center" wrapText="1"/>
    </xf>
    <xf numFmtId="43" fontId="0" fillId="0" borderId="0" xfId="0" applyNumberFormat="1"/>
    <xf numFmtId="0" fontId="0" fillId="2" borderId="1" xfId="0" applyFill="1" applyBorder="1" applyAlignment="1">
      <alignment horizontal="center" vertical="center" wrapText="1"/>
    </xf>
    <xf numFmtId="176" fontId="0" fillId="2" borderId="1" xfId="0" applyNumberFormat="1" applyFill="1" applyBorder="1" applyAlignment="1">
      <alignment vertical="center" wrapText="1"/>
    </xf>
    <xf numFmtId="0" fontId="0" fillId="0" borderId="0" xfId="0" applyAlignment="1">
      <alignment horizontal="left"/>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4" xfId="0" applyFont="1" applyBorder="1" applyAlignment="1">
      <alignment horizontal="center" vertical="center"/>
    </xf>
    <xf numFmtId="0" fontId="18" fillId="0" borderId="5" xfId="0" applyFont="1" applyBorder="1" applyAlignment="1">
      <alignment horizontal="center" vertical="center"/>
    </xf>
    <xf numFmtId="14" fontId="19" fillId="0" borderId="6" xfId="0" applyNumberFormat="1" applyFont="1" applyBorder="1" applyAlignment="1">
      <alignment horizontal="left" vertical="center" wrapText="1"/>
    </xf>
    <xf numFmtId="14" fontId="19" fillId="0" borderId="7" xfId="0" applyNumberFormat="1" applyFont="1" applyBorder="1" applyAlignment="1">
      <alignment horizontal="left" vertical="center" wrapText="1"/>
    </xf>
    <xf numFmtId="0" fontId="18" fillId="0" borderId="8" xfId="0" applyFont="1" applyBorder="1" applyAlignment="1">
      <alignment horizontal="center" vertical="center"/>
    </xf>
    <xf numFmtId="0" fontId="19" fillId="0" borderId="2" xfId="0" applyFont="1" applyBorder="1" applyAlignment="1">
      <alignment horizontal="center" vertical="center"/>
    </xf>
    <xf numFmtId="0" fontId="17" fillId="0" borderId="5" xfId="0" applyFont="1" applyBorder="1" applyAlignment="1">
      <alignment horizontal="center" vertical="center"/>
    </xf>
    <xf numFmtId="0" fontId="0" fillId="6" borderId="1" xfId="0" applyFill="1" applyBorder="1" applyAlignment="1">
      <alignment vertical="center" wrapText="1"/>
    </xf>
    <xf numFmtId="0" fontId="20" fillId="2" borderId="9" xfId="0" applyFont="1" applyFill="1" applyBorder="1" applyAlignment="1">
      <alignment horizontal="center" vertical="center" wrapText="1"/>
    </xf>
    <xf numFmtId="187" fontId="0" fillId="2" borderId="1" xfId="0" applyNumberFormat="1" applyFill="1" applyBorder="1" applyAlignment="1">
      <alignment vertical="center" wrapText="1"/>
    </xf>
    <xf numFmtId="176" fontId="0" fillId="4" borderId="1" xfId="0" applyNumberFormat="1" applyFill="1" applyBorder="1" applyAlignment="1">
      <alignment vertical="center" wrapText="1"/>
    </xf>
    <xf numFmtId="188" fontId="0" fillId="2" borderId="1" xfId="0" applyNumberFormat="1" applyFill="1" applyBorder="1" applyAlignment="1">
      <alignment vertical="center" wrapText="1"/>
    </xf>
    <xf numFmtId="14" fontId="0" fillId="6" borderId="1" xfId="0" applyNumberFormat="1" applyFill="1" applyBorder="1" applyAlignment="1">
      <alignment vertical="center" wrapText="1"/>
    </xf>
    <xf numFmtId="185" fontId="0" fillId="0" borderId="0" xfId="0" applyNumberFormat="1"/>
    <xf numFmtId="185" fontId="2" fillId="0" borderId="1" xfId="0" applyNumberFormat="1" applyFont="1" applyBorder="1" applyAlignment="1">
      <alignment horizontal="center" vertical="center" wrapText="1"/>
    </xf>
    <xf numFmtId="185" fontId="0" fillId="2" borderId="1" xfId="0" applyNumberFormat="1" applyFill="1" applyBorder="1" applyAlignment="1">
      <alignment vertical="center" wrapText="1"/>
    </xf>
    <xf numFmtId="14" fontId="21" fillId="0" borderId="1" xfId="0" applyNumberFormat="1" applyFont="1" applyBorder="1" applyAlignment="1">
      <alignment vertical="center" wrapText="1"/>
    </xf>
    <xf numFmtId="14" fontId="6" fillId="3" borderId="1" xfId="0" applyNumberFormat="1" applyFont="1" applyFill="1" applyBorder="1" applyAlignment="1">
      <alignment vertical="center" wrapText="1"/>
    </xf>
    <xf numFmtId="43" fontId="21" fillId="0" borderId="1" xfId="1" applyFont="1" applyBorder="1" applyAlignment="1">
      <alignment vertical="center" wrapText="1"/>
    </xf>
    <xf numFmtId="185" fontId="9" fillId="0" borderId="1" xfId="0" applyNumberFormat="1" applyFont="1" applyBorder="1" applyAlignment="1">
      <alignment vertical="center" wrapText="1"/>
    </xf>
    <xf numFmtId="185" fontId="0" fillId="4" borderId="1" xfId="0" applyNumberFormat="1" applyFill="1" applyBorder="1" applyAlignment="1">
      <alignment vertical="center" wrapText="1"/>
    </xf>
    <xf numFmtId="0" fontId="27" fillId="2" borderId="1" xfId="4" quotePrefix="1" applyFill="1" applyBorder="1" applyAlignment="1">
      <alignment vertical="center" wrapText="1"/>
    </xf>
    <xf numFmtId="49" fontId="27" fillId="2" borderId="1" xfId="4" quotePrefix="1" applyNumberFormat="1" applyFill="1" applyBorder="1" applyAlignment="1">
      <alignment vertical="center" wrapText="1"/>
    </xf>
    <xf numFmtId="0" fontId="1" fillId="0" borderId="0" xfId="0" applyFont="1" applyAlignment="1">
      <alignment horizontal="center"/>
    </xf>
    <xf numFmtId="0" fontId="0" fillId="0" borderId="1" xfId="0" applyBorder="1" applyAlignment="1">
      <alignment horizont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3" fillId="0" borderId="1" xfId="0" applyFont="1" applyBorder="1" applyAlignment="1">
      <alignment horizontal="center" vertical="center" wrapText="1"/>
    </xf>
    <xf numFmtId="0" fontId="1" fillId="0" borderId="0" xfId="4" applyFont="1" applyAlignment="1">
      <alignment horizontal="center"/>
    </xf>
    <xf numFmtId="182" fontId="1" fillId="0" borderId="0" xfId="4" applyNumberFormat="1" applyFont="1" applyAlignment="1">
      <alignment horizontal="center"/>
    </xf>
    <xf numFmtId="0" fontId="27" fillId="0" borderId="1" xfId="4" applyBorder="1" applyAlignment="1">
      <alignment horizontal="center"/>
    </xf>
    <xf numFmtId="182" fontId="27" fillId="0" borderId="1" xfId="4" applyNumberFormat="1" applyBorder="1" applyAlignment="1">
      <alignment horizontal="center"/>
    </xf>
    <xf numFmtId="0" fontId="2" fillId="0" borderId="1" xfId="4" applyFont="1" applyBorder="1" applyAlignment="1">
      <alignment horizontal="center" vertical="center" wrapText="1"/>
    </xf>
    <xf numFmtId="0" fontId="2" fillId="0" borderId="1" xfId="4" applyFont="1" applyBorder="1" applyAlignment="1">
      <alignment horizontal="center" vertical="center"/>
    </xf>
    <xf numFmtId="0" fontId="27" fillId="0" borderId="1" xfId="4" applyBorder="1" applyAlignment="1">
      <alignment horizontal="center" vertical="center"/>
    </xf>
    <xf numFmtId="0" fontId="27" fillId="0" borderId="1" xfId="4" applyBorder="1" applyAlignment="1">
      <alignment horizontal="center" vertical="center" wrapText="1"/>
    </xf>
    <xf numFmtId="0" fontId="2" fillId="0" borderId="1" xfId="4" applyFont="1" applyBorder="1" applyAlignment="1">
      <alignment horizontal="left" vertical="center" wrapText="1"/>
    </xf>
    <xf numFmtId="0" fontId="27" fillId="0" borderId="1" xfId="4" applyBorder="1" applyAlignment="1">
      <alignment horizontal="left" vertical="center" wrapText="1"/>
    </xf>
    <xf numFmtId="0" fontId="3" fillId="0" borderId="1" xfId="4" applyFont="1" applyBorder="1" applyAlignment="1">
      <alignment horizontal="center" vertical="center" wrapText="1"/>
    </xf>
    <xf numFmtId="0" fontId="2" fillId="0" borderId="1" xfId="4" applyFont="1" applyBorder="1" applyAlignment="1">
      <alignment horizontal="center"/>
    </xf>
    <xf numFmtId="0" fontId="29" fillId="0" borderId="0" xfId="0" applyFont="1"/>
    <xf numFmtId="0" fontId="30" fillId="0" borderId="0" xfId="0" applyFont="1"/>
    <xf numFmtId="0" fontId="29" fillId="0" borderId="0" xfId="0" applyFont="1" applyAlignment="1">
      <alignment horizontal="center"/>
    </xf>
    <xf numFmtId="0" fontId="32" fillId="0" borderId="0" xfId="0" applyFont="1" applyAlignment="1">
      <alignment horizontal="center" vertical="center" wrapText="1"/>
    </xf>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cellXfs>
  <cellStyles count="6">
    <cellStyle name="百分比" xfId="2" builtinId="5"/>
    <cellStyle name="百分比 2" xfId="3" xr:uid="{00000000-0005-0000-0000-00000D000000}"/>
    <cellStyle name="常规" xfId="0" builtinId="0"/>
    <cellStyle name="常规 2" xfId="4" xr:uid="{00000000-0005-0000-0000-000032000000}"/>
    <cellStyle name="千位分隔" xfId="1" builtinId="3"/>
    <cellStyle name="千位分隔 2" xfId="5" xr:uid="{00000000-0005-0000-0000-000033000000}"/>
  </cellStyles>
  <dxfs count="9">
    <dxf>
      <fill>
        <patternFill patternType="solid">
          <fgColor rgb="FF92D050"/>
          <bgColor rgb="FF92D050"/>
        </patternFill>
      </fill>
    </dxf>
    <dxf>
      <fill>
        <patternFill patternType="solid">
          <fgColor rgb="FF92D050"/>
          <bgColor rgb="FF000000"/>
        </patternFill>
      </fill>
    </dxf>
    <dxf>
      <fill>
        <patternFill patternType="solid">
          <fgColor rgb="FF92D050"/>
          <bgColor rgb="FF92D050"/>
        </patternFill>
      </fill>
    </dxf>
    <dxf>
      <fill>
        <patternFill patternType="solid">
          <fgColor rgb="FF92D050"/>
          <bgColor rgb="FF92D050"/>
        </patternFill>
      </fill>
    </dxf>
    <dxf>
      <numFmt numFmtId="35" formatCode="_ * #,##0.00_ ;_ * \-#,##0.00_ ;_ * &quot;-&quot;??_ ;_ @_ "/>
    </dxf>
    <dxf>
      <fill>
        <patternFill patternType="solid">
          <fgColor rgb="FF92D050"/>
          <bgColor rgb="FF00000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pivotCacheDefinition" Target="pivotCache/pivotCacheDefinition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pivotCacheDefinition" Target="pivotCache/pivotCacheDefinition2.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pivotCacheDefinition" Target="pivotCache/pivotCacheDefinition3.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externalLink" Target="externalLinks/externalLink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pivotCacheDefinition" Target="pivotCache/pivotCacheDefinition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pivotCacheDefinition" Target="pivotCache/pivotCacheDefinition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30</xdr:col>
      <xdr:colOff>0</xdr:colOff>
      <xdr:row>3</xdr:row>
      <xdr:rowOff>0</xdr:rowOff>
    </xdr:from>
    <xdr:to>
      <xdr:col>46</xdr:col>
      <xdr:colOff>628650</xdr:colOff>
      <xdr:row>30</xdr:row>
      <xdr:rowOff>28575</xdr:rowOff>
    </xdr:to>
    <xdr:pic>
      <xdr:nvPicPr>
        <xdr:cNvPr id="2" name="图片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xfrm>
          <a:off x="21386800" y="1022350"/>
          <a:ext cx="11601450" cy="5095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0</xdr:colOff>
      <xdr:row>3</xdr:row>
      <xdr:rowOff>0</xdr:rowOff>
    </xdr:from>
    <xdr:to>
      <xdr:col>47</xdr:col>
      <xdr:colOff>85725</xdr:colOff>
      <xdr:row>22</xdr:row>
      <xdr:rowOff>66675</xdr:rowOff>
    </xdr:to>
    <xdr:pic>
      <xdr:nvPicPr>
        <xdr:cNvPr id="2" name="图片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xfrm>
          <a:off x="21094700" y="1022350"/>
          <a:ext cx="11058525" cy="49530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0</xdr:colOff>
      <xdr:row>3</xdr:row>
      <xdr:rowOff>0</xdr:rowOff>
    </xdr:from>
    <xdr:to>
      <xdr:col>50</xdr:col>
      <xdr:colOff>171450</xdr:colOff>
      <xdr:row>40</xdr:row>
      <xdr:rowOff>122555</xdr:rowOff>
    </xdr:to>
    <xdr:pic>
      <xdr:nvPicPr>
        <xdr:cNvPr id="3" name="图片 2">
          <a:extLst>
            <a:ext uri="{FF2B5EF4-FFF2-40B4-BE49-F238E27FC236}">
              <a16:creationId xmlns:a16="http://schemas.microsoft.com/office/drawing/2014/main" id="{00000000-0008-0000-A400-000003000000}"/>
            </a:ext>
          </a:extLst>
        </xdr:cNvPr>
        <xdr:cNvPicPr>
          <a:picLocks noChangeAspect="1"/>
        </xdr:cNvPicPr>
      </xdr:nvPicPr>
      <xdr:blipFill>
        <a:blip xmlns:r="http://schemas.openxmlformats.org/officeDocument/2006/relationships" r:embed="rId1"/>
        <a:stretch>
          <a:fillRect/>
        </a:stretch>
      </xdr:blipFill>
      <xdr:spPr>
        <a:xfrm>
          <a:off x="21323300" y="1022350"/>
          <a:ext cx="13201650" cy="98952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7704;&#25299;\2&#12289;&#26032;&#26131;&#36151;\&#21508;&#21407;&#34920;\&#34701;&#26131;&#36151;-&#21452;&#27969;&#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chat\WeChat%20Files\Return_\FileStorage\File\2024-06\&#34701;&#26131;&#36151;&#27169;&#2649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enovo\Documents\WeChat%20Files\wxid_t5yb2q6mnwrb12\FileStorage\File\2024-08\&#34701;&#26131;&#36151;-&#21452;&#27969;&#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1"/>
      <sheetName val="总申报名单"/>
      <sheetName val="双流区申报汇总"/>
      <sheetName val="Sheet10"/>
      <sheetName val="双流区审计明细汇总"/>
      <sheetName val="支持标准"/>
      <sheetName val="148"/>
      <sheetName val="149"/>
      <sheetName val="150"/>
      <sheetName val="151"/>
      <sheetName val="152"/>
      <sheetName val="153"/>
      <sheetName val="154"/>
      <sheetName val="155"/>
      <sheetName val="156"/>
      <sheetName val="157"/>
      <sheetName val="158"/>
      <sheetName val="159"/>
      <sheetName val="160"/>
      <sheetName val="161"/>
      <sheetName val="162"/>
      <sheetName val="空"/>
      <sheetName val="审计注意事项"/>
    </sheetNames>
    <sheetDataSet>
      <sheetData sheetId="0"/>
      <sheetData sheetId="1"/>
      <sheetData sheetId="2"/>
      <sheetData sheetId="3"/>
      <sheetData sheetId="4"/>
      <sheetData sheetId="5">
        <row r="3">
          <cell r="B3" t="str">
            <v>新e贷</v>
          </cell>
          <cell r="F3">
            <v>0.01</v>
          </cell>
        </row>
        <row r="4">
          <cell r="B4" t="str">
            <v>新易贷·惠业</v>
          </cell>
          <cell r="F4">
            <v>1.4999999999999999E-2</v>
          </cell>
        </row>
        <row r="5">
          <cell r="B5" t="str">
            <v>新易贷·培优</v>
          </cell>
          <cell r="F5">
            <v>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申报名单"/>
      <sheetName val="成华区审计明细汇总"/>
      <sheetName val="成华区申报汇总"/>
      <sheetName val="双流区申报汇总"/>
      <sheetName val="支持标准"/>
      <sheetName val="62"/>
      <sheetName val="63"/>
      <sheetName val="64"/>
      <sheetName val="65"/>
      <sheetName val="66"/>
      <sheetName val="67"/>
      <sheetName val="68"/>
      <sheetName val="69"/>
      <sheetName val="空模板1"/>
      <sheetName val="审计注意事项"/>
    </sheetNames>
    <sheetDataSet>
      <sheetData sheetId="0" refreshError="1"/>
      <sheetData sheetId="1" refreshError="1"/>
      <sheetData sheetId="2" refreshError="1"/>
      <sheetData sheetId="3" refreshError="1"/>
      <sheetData sheetId="4">
        <row r="3">
          <cell r="B3" t="str">
            <v>新e贷</v>
          </cell>
          <cell r="F3">
            <v>0.01</v>
          </cell>
        </row>
        <row r="4">
          <cell r="B4" t="str">
            <v>新易贷·惠业</v>
          </cell>
          <cell r="F4">
            <v>1.4999999999999999E-2</v>
          </cell>
        </row>
        <row r="5">
          <cell r="B5" t="str">
            <v>新易贷·培优</v>
          </cell>
          <cell r="F5">
            <v>0.02</v>
          </cell>
        </row>
      </sheetData>
      <sheetData sheetId="5">
        <row r="4">
          <cell r="H4" t="str">
            <v>新易贷·惠业</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1"/>
      <sheetName val="总申报名单"/>
      <sheetName val="双流区申报汇总"/>
      <sheetName val="Sheet10"/>
      <sheetName val="双流区审计明细汇总"/>
      <sheetName val="支持标准"/>
      <sheetName val="148"/>
      <sheetName val="149"/>
      <sheetName val="150"/>
      <sheetName val="151"/>
      <sheetName val="152"/>
      <sheetName val="153"/>
      <sheetName val="154"/>
      <sheetName val="155"/>
      <sheetName val="156"/>
      <sheetName val="157"/>
      <sheetName val="158"/>
      <sheetName val="159"/>
      <sheetName val="160"/>
      <sheetName val="161"/>
      <sheetName val="162"/>
      <sheetName val="空"/>
      <sheetName val="审计注意事项"/>
    </sheetNames>
    <sheetDataSet>
      <sheetData sheetId="0" refreshError="1"/>
      <sheetData sheetId="1" refreshError="1"/>
      <sheetData sheetId="2" refreshError="1"/>
      <sheetData sheetId="3" refreshError="1"/>
      <sheetData sheetId="4" refreshError="1"/>
      <sheetData sheetId="5" refreshError="1">
        <row r="3">
          <cell r="B3" t="str">
            <v>新e贷</v>
          </cell>
          <cell r="F3">
            <v>0.01</v>
          </cell>
        </row>
        <row r="4">
          <cell r="B4" t="str">
            <v>新易贷·惠业</v>
          </cell>
          <cell r="F4">
            <v>1.4999999999999999E-2</v>
          </cell>
        </row>
        <row r="5">
          <cell r="B5" t="str">
            <v>新易贷·培优</v>
          </cell>
          <cell r="F5">
            <v>0.02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Lenovo\Documents\WeChat%20Files\wxid_t5yb2q6mnwrb12\FileStorage\File\2024-08\&#25104;&#21326;&#21306;&#23457;&#35745;&#26126;&#32454;&#27719;&#24635;"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519.717696759297" createdVersion="6" refreshedVersion="5" minRefreshableVersion="3" recordCount="111" xr:uid="{00000000-000A-0000-FFFF-FFFF00000000}">
  <cacheSource type="worksheet">
    <worksheetSource name="#NAME?"/>
  </cacheSource>
  <cacheFields count="18">
    <cacheField name="序号" numFmtId="0">
      <sharedItems containsString="0" containsBlank="1" containsNumber="1" containsInteger="1" minValue="0" maxValue="94" count="95">
        <n v="1"/>
        <n v="2"/>
        <n v="3"/>
        <n v="4"/>
        <n v="5"/>
        <n v="6"/>
        <n v="7"/>
        <n v="8"/>
        <m/>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sharedItems>
    </cacheField>
    <cacheField name="企业名称" numFmtId="0">
      <sharedItems containsBlank="1" count="62">
        <s v="四川尚锐生物医药有限公司"/>
        <s v="成都英黎科技有限公司"/>
        <s v="成都中航华测科技有限公司"/>
        <s v="成都利普芯微电子有限公司"/>
        <s v="成都特来电新能源有限公司"/>
        <s v="四川省华盾防务科技股份有限公司"/>
        <s v="成都开飞高能化学工业有限公司"/>
        <m/>
        <s v="成都蕊源半导体科技股份有限公司"/>
        <s v="成都晨发泰达航空科技股份有限公司"/>
        <s v="四川骏逸富顿科技有限公司"/>
        <s v="成都飞机工业集团电子科技有限公司"/>
        <s v="成都邦普切削刀具股份有限公司"/>
        <s v="成都普什制药有限公司"/>
        <s v="成都天奥测控技术有限公司"/>
        <s v="成都森未科技有限公司"/>
        <s v="海创药业股份有限公司"/>
        <s v="成都天马微电子有限公司"/>
        <s v="四川金信石信息技术有限公司"/>
        <s v="四川新科电子技术工程有限责任公司"/>
        <s v="成都宜泊信息科技有限公司"/>
        <s v="成都汉度科技有限公司"/>
        <s v="成都国星宇航科技股份有限公司"/>
        <s v="成都明夷电子科技股份有限公司（成都明夷电子科技有限公司）"/>
        <s v="威特龙消防安全集团股份公司"/>
        <s v="成都星云智联科技有限公司"/>
        <s v="成都瑞迪威科技有限公司"/>
        <s v="成都汇辙科技有限公司"/>
        <s v="四川安迪科技实业有限公司"/>
        <s v="成都华栖云科技有限公司"/>
        <s v="迪威弗智能装备集团有限公司"/>
        <s v="成都迪真计算机科技有限公司"/>
        <s v="成都成电光信科技股份有限公司"/>
        <s v="四川图林科技有限责任公司"/>
        <s v="成都中科华微电子有限公司"/>
        <s v="成都路维光电有限公司"/>
        <s v="成都戎星科技有限公司"/>
        <s v="成都富元辰科技有限公司"/>
        <s v="成都思越智能装备股份有限公司"/>
        <s v="四川省西点能源有限公司"/>
        <s v="成都云智北斗科技有限公司"/>
        <s v="成都星联芯通科技有限公司"/>
        <s v="成都恩沐生物科技有限公司"/>
        <s v="成都正升能源技术开发有限公司"/>
        <s v="成都瑞隆祥科技有限公司"/>
        <s v="成都锐芯盛通电子科技有限公司"/>
        <s v="成都硅宝科技股份有限公司"/>
        <s v="四川赛康智能科技股份有限公司"/>
        <s v="成都锐成芯微科技股份有限公司"/>
        <s v="四川盛玖源环境工程有限公司"/>
        <s v="成都国恒空间技术工程股份有限公司"/>
        <s v="成都天奥信息科技有限公司"/>
        <s v="四川泰猷科技有限公司"/>
        <s v="四川赛狄信息技术股份公司"/>
        <s v="成都前锋电子有限责任公司"/>
        <s v="四川携光生物技术有限公司"/>
        <s v="成都瀚德科技有限公司"/>
        <s v="成都恒成工具股份有限公司"/>
        <s v="成都纵横大鹏无人机科技有限公司"/>
        <s v="四川新荷花中药饮片股份有限公司"/>
        <s v="成都锐思环保技术股份有限公司"/>
        <s v="成都净蓝科技有限公司"/>
      </sharedItems>
    </cacheField>
    <cacheField name="注册机关" numFmtId="0">
      <sharedItems containsBlank="1" count="13">
        <s v="成都高新区"/>
        <s v="成都高新技术产业开发区市场监督管理局"/>
        <s v="成都高新区市场监督管理局"/>
        <s v="成都市市场监督管理局"/>
        <m/>
        <s v="成都市工商局"/>
        <s v="成都市高新技术产业开发区市场监督管理局"/>
        <s v="高新区市场监督管理局"/>
        <s v="四川省市场监督管理局"/>
        <s v="高新区"/>
        <s v="成都高新技术产业开发区"/>
        <s v="成都市高新区市场监督管理局"/>
        <s v="成都高新市场监管局"/>
      </sharedItems>
    </cacheField>
    <cacheField name="统一社会信用代码" numFmtId="49">
      <sharedItems containsBlank="1" containsMixedTypes="1" containsNumber="1" containsInteger="1" count="62">
        <s v="915101006743448627"/>
        <s v="91510100734807532R"/>
        <s v="91510107066992989P"/>
        <s v="91510100MA67GLY99L"/>
        <n v="9.1510100350525901E+17"/>
        <s v="91510100737729605K"/>
        <s v="91510100709203032R"/>
        <m/>
        <s v="91510100MA61WTPR2G"/>
        <s v="91510100MA61TY51XJ"/>
        <s v="9151010039628749XP"/>
        <s v="91510100758783256J"/>
        <s v="91510100725362949Q"/>
        <s v="9151010066302760XF"/>
        <s v="91510100755952122H"/>
        <s v="91510100MA6DE3KG2W"/>
        <s v="915101000624182000"/>
        <s v="9151010067966155X9"/>
        <s v="91510100562012046W"/>
        <s v="915100002018791549"/>
        <s v="91510100343030842A"/>
        <s v="91510100054913286C"/>
        <s v="91510122MA6CEC3QX8"/>
        <s v="91510100MA61R5XP4P"/>
        <s v="91510000698873187M"/>
        <s v="91510100582616760L"/>
        <s v="9151010009831180XG"/>
        <s v="91510100MA6CAUPX43"/>
        <s v="91510100720357323F"/>
        <s v="91510100MA61X50Q56"/>
        <s v="91510100MA6AQHFC9J"/>
        <s v="91510100327426521N"/>
        <s v="9151010057463511XR"/>
        <s v="91510000791828903U"/>
        <s v="91510100394287808P"/>
        <s v="91510100MA6CR2PD7B"/>
        <s v="91510100343121066D"/>
        <s v="91510100MA61XWLW1M"/>
        <s v="91510100MA6CDAY97U"/>
        <n v="9.1510100350642701E+17"/>
        <s v="91510104MA641HUQ75"/>
        <s v="91510100331925075E"/>
        <s v="91510100MA61WUE12U"/>
        <s v="91510100572269734X"/>
        <s v="91510100MA61T33473"/>
        <s v="91510100394481221U"/>
        <s v="91510100713042497M"/>
        <s v="9151007528151223"/>
        <n v="9.1510100587559002E+17"/>
        <s v="91510100MA62Q8150A"/>
        <s v="91510100790008903N"/>
        <s v="91510100777 4980128"/>
        <s v="91510100MA61RR7JXK"/>
        <s v="9151000066028378XC"/>
        <n v="9.1510100725363802E+17"/>
        <s v="91510100MA6C9EGJ37"/>
        <s v="91510100693667819J"/>
        <s v="91510100720333057H"/>
        <s v="91510122MA61RK0C98"/>
        <s v="91510100734795009L"/>
        <s v="915101007130802905"/>
        <s v="91510100075378753R"/>
      </sharedItems>
    </cacheField>
    <cacheField name="企业性质" numFmtId="0">
      <sharedItems containsBlank="1" count="26">
        <s v="民营"/>
        <s v="私营"/>
        <s v="私营有限公司"/>
        <s v="有限责任公司（民营）"/>
        <s v="国有混合"/>
        <s v="股份有限公司"/>
        <s v="外商投资企业"/>
        <m/>
        <s v="有限责任公司"/>
        <s v="股份制企业"/>
        <s v="国有参股"/>
        <s v="私营股份有限公司"/>
        <s v="其他有限责任公司"/>
        <s v="国有企业"/>
        <s v="中外合资"/>
        <s v="国有"/>
        <s v="民营企业"/>
        <s v="中小企业"/>
        <s v="私营企业"/>
        <s v="其他股份有限公司(非上市)"/>
        <s v="有限责任公司（自然人投资或控股）"/>
        <s v="私营有限责任公司"/>
        <s v="有限责任公司(自然人投资或控股)"/>
        <s v="民营股份有限公司"/>
        <s v="小型企业"/>
        <s v="其他股份有限公司"/>
      </sharedItems>
    </cacheField>
    <cacheField name="税收解缴机关" numFmtId="0">
      <sharedItems containsBlank="1" count="18">
        <s v="成都高新技术产业开发区税务局"/>
        <s v="国家税务总局成都高新技术产业开发区税务局"/>
        <s v="成都高新区"/>
        <s v="国家税务总局成都高新技术产业开发区税务局第二税务所"/>
        <s v="成都市高新区税务局"/>
        <m/>
        <s v="成都高新技术产业开发区税务局西园税务所"/>
        <s v="成都市高新区"/>
        <s v="成都高新区税务局"/>
        <s v="国家税务局成都高新技术产业开发区税务局"/>
        <s v="高新区"/>
        <s v="成都高新技术产业开发区"/>
        <s v="高新税务局"/>
        <s v="成都高新区税务局第二税务所"/>
        <s v="成都高新区税务局西园税务所"/>
        <s v="成都高新税务局"/>
        <s v="成都高新技术产业开发区税务局第二税务所"/>
        <s v="高新区税务局"/>
      </sharedItems>
    </cacheField>
    <cacheField name="收款账号(注明开户行)" numFmtId="0">
      <sharedItems containsBlank="1" containsMixedTypes="1" containsNumber="1" containsInteger="1" count="68">
        <s v="4402005609000009015工商银行成都华西医院支行"/>
        <s v="中国农业银行股份有限公司成都府青路支行801501040003566"/>
        <s v="账号：4402208009100373143开户行：工商银行成都春熙路步行街支行"/>
        <s v="1001300001104517（成都银行二仙桥东路支行）"/>
        <s v="户名：成都特来电新能源有限公司开户行：成都农村商业银行股份有限公司大源支行账号：1000060006541960"/>
        <s v="成都银行西区支行 1001300000667420"/>
        <s v="收款账号：511601019010123011928（开户行：交通银行成都温江支行）"/>
        <m/>
        <s v="698038262民生银行成都铁像寺支行"/>
        <s v="81012100000093595（乐山市商业银行成都分行）"/>
        <s v="成都农村商业银行股份有限公司聚兴支行1000020007453011"/>
        <s v="成都工商银行黄田坝分理处 4402219009100009913"/>
        <s v="51001416108059450025建行成都市第一支行"/>
        <s v="51001458208051504835中国建设银行股份有限公司成都第五支行"/>
        <s v="建行成都茶店子支行51001416146051502609"/>
        <s v="431250100100111861（兴业银行成都提督街支行）"/>
        <s v="招商银行股份有限公司锦官城支行128905498610603"/>
        <s v="4402254719100095764中国工商银行股份有限公司成都郫都鹃城支行"/>
        <s v="1001300000715090成都银行交大路支行"/>
        <s v="51001458208050034784（中国建设银行股份有限公司成都第五支行）"/>
        <s v="1001300000414084（成都银行南城支行"/>
        <s v="4402211109100030608（中国工商银行股份有限公司成都鹭岛支行）"/>
        <s v="511511300013002287482交通银行成都双流分行"/>
        <s v="1001300000717987（成都银行科技支行）"/>
        <s v="1000010007971635（成都农村商业银行股份有限公司化龙支行）"/>
        <s v="中国银行股份有限公司郫都支行122556288822"/>
        <s v="51001885136051502905（中国建设银行股份有限公司成都沙湾支行"/>
        <s v="中国建设银行股份有限公司成都第九支行（51001498408051528901）"/>
        <s v="收款账号：03003551497  开户行：    上海银行成都高新支行"/>
        <s v="22801501040022053 （农业银行成都府青路支行）"/>
        <s v="22808801040020732（中国农业银行成都高新技术产业开发区支行）"/>
        <s v="开户行：中信银行光华支行账号：8111001013800553022"/>
        <s v="4402203009100220530中国工商银行股份有限公司成都红牌楼支行"/>
        <s v="1001300000746815（成都银行股份有限公司西区支行）"/>
        <s v="633538423（中国民生银行股份有限公司成都骡马市支行）"/>
        <s v="中国光大银行成都蜀汉路支行39870188000019337"/>
        <s v="1000050006624989（成都农商银行西区支行）"/>
        <s v="22808801040022548（中国农业银行成都高新技术产业开发区支行）"/>
        <s v="成都银行武侯新城支行"/>
        <s v="1001300000892336（成都银行八里庄支行）"/>
        <s v="中国银行郫都汉正广场支行  12125718 1169"/>
        <s v="6510000010120100518805浙商银行股份有限公司成都分行"/>
        <s v="1001300000935930（行号：313651031011）"/>
        <n v="4.4022752191000202E+18"/>
        <s v="51050148850800001127   建设银行成都第八支行"/>
        <s v="中国银行成都万科支行119863706389"/>
        <s v="4402243409100038006（开户行：中国工商银行股份有限公司成都金牛支行一品天下分理处）"/>
        <n v="5.10014885610525E+19"/>
        <s v="开户银行:中国建设银行股份有限公司成都龙腾路支行"/>
        <s v="44029220009022503458中国工商银行股份有限公司成都永丰路支行"/>
        <s v="成都银行股份有限公司科技支行1001300000216171"/>
        <s v="中国工商银行股份有限公司成都草市支行"/>
        <n v="4.4022020091000202E+18"/>
        <s v="122611954032中国银行成都东电支行"/>
        <s v="633322769中国民生银行股份有限公司成都分行"/>
        <s v="51001416146059666888                     建设银行成都茶店子支行"/>
        <s v="51050142624200000036（中国建设银行股份有限公司成都天府新谷支行）"/>
        <s v="工商银行成都高新西部园区支行营业室"/>
        <n v="4.40225410900002E+18"/>
        <s v="工商银行成都高新西部园区支行营业室4402254109000027695"/>
        <s v="2010150134080016258上海浦东发展银行股份有限公司成都分行"/>
        <s v="51050148853609111106（中国建设银行成都白果林支行）"/>
        <s v="4402235009100078721 工行成都城南支行"/>
        <s v="中国建设银行成都益州支行51001416181059000011"/>
        <s v="中国工商银行成都府河音乐花园支行4402 9391 0910 0038 764"/>
        <s v="成都银行金牛支行34012002218926200016"/>
        <s v="129343209717（中国银行股份有限公司成都锦城支行）"/>
        <s v="4402235009100123919中国工商银行成都高新城南支行"/>
      </sharedItems>
    </cacheField>
    <cacheField name="贷款产品" numFmtId="0">
      <sharedItems containsBlank="1" count="5">
        <s v="新易贷·惠业"/>
        <s v="新易贷·培优"/>
        <m/>
        <s v="新e贷"/>
        <s v="新e贷合同号1233333333333323"/>
      </sharedItems>
    </cacheField>
    <cacheField name="贷款银行" numFmtId="0">
      <sharedItems containsBlank="1" count="49">
        <s v="成都农商银行青羊支行"/>
        <s v="中国工商银行股份有限公司成都春熙支行"/>
        <s v="成都农商银行"/>
        <s v="成都银行有限公司成华支行"/>
        <s v="成都农村商业银行股份有限公司大源支行"/>
        <s v="成都银行金牛支行"/>
        <s v="成都农村商业银行股份有限公司高新支行"/>
        <m/>
        <s v="成都银行"/>
        <s v="中国银行"/>
        <s v="民生银行成都高新支行"/>
        <s v="成都农村商业银行股份有限公司聚兴支行"/>
        <s v="中国民生银行股份有限公司成都锦江支行"/>
        <s v="中国工商银行股份有限公司成都草市支行"/>
        <s v="成都银行琴台支行"/>
        <s v="成都农商行青龙支行"/>
        <s v="工商银行成都金牛支行"/>
        <s v="成都银行股份有限公司华兴支行"/>
        <s v="成都银行股份有限公司琴台支行"/>
        <s v="中国工商银行股份有限公司成都郫都支行"/>
        <s v="成都农村商业银行股份有限公司东部新区支行"/>
        <s v="成都银行青羊支行"/>
        <s v="中国银行股份有限公司成都开发西区支行"/>
        <s v="中国工商银行股份有限公司成都滨江支行"/>
        <s v="成都银行股份有限公司科技支行"/>
        <s v="兴业银行银行股份有限公司成都分行"/>
        <s v="成都银行营业部"/>
        <s v="成都银行股份有限公司高新支行"/>
        <s v="中国民生银行股份有限公司成都分行"/>
        <s v="中国建设银行股份有限公司成都第八支行"/>
        <s v="民生银行"/>
        <s v="成都农商行商业城支行"/>
        <s v="成都农村商业银行股份有限公司西区支行"/>
        <s v="成都银行科技支行"/>
        <s v="兴业银行"/>
        <s v="成都银行西区支行"/>
        <s v="成都银行股份有限公司青羊支行"/>
        <s v="成都银行华兴支行"/>
        <s v="成都银行股份有限公司武侯支行"/>
        <s v="成都农商银行簇桥支行"/>
        <s v="中国工商银行股份有限公司成都金牛支行"/>
        <s v="成都农商行武侯支行"/>
        <s v="成都农村商业银行股份有限公司龙泉驿西河支行"/>
        <s v="中国银行成都东电支行"/>
        <s v="中国民生银行成都分行"/>
        <s v="成都银行股份有限公司"/>
        <s v="工商银行"/>
        <s v="中国民生银行股份有限公司成都支行"/>
        <s v="中国工商银行成都高新城南支行"/>
      </sharedItems>
    </cacheField>
    <cacheField name="贷款期限" numFmtId="0">
      <sharedItems containsBlank="1" containsMixedTypes="1" containsNumber="1" containsInteger="1" count="25">
        <s v="2022.12.28至2023.12.27"/>
        <s v="一年"/>
        <s v="2年"/>
        <s v="1年"/>
        <n v="2"/>
        <m/>
        <s v="12个月"/>
        <n v="24"/>
        <n v="12"/>
        <s v="24个月"/>
        <s v="2022.10.31至2023.10.30"/>
        <s v="3年"/>
        <s v="12月"/>
        <s v="壹年"/>
        <s v="2022年12月29日至2023年12月28日"/>
        <s v="13个月"/>
        <s v="18个月"/>
        <s v="30天"/>
        <s v="180天"/>
        <s v="365天"/>
        <s v="两年"/>
        <s v="340天"/>
        <s v="2023/06/26-2024/06/25"/>
        <s v="2023/09/22-2025/09/21"/>
        <s v="327天"/>
      </sharedItems>
    </cacheField>
    <cacheField name="贷款金额" numFmtId="0">
      <sharedItems containsString="0" containsBlank="1" containsNumber="1" containsInteger="1" minValue="0" maxValue="3000" count="28">
        <n v="1000"/>
        <n v="2000"/>
        <m/>
        <n v="999"/>
        <n v="500"/>
        <n v="1800"/>
        <n v="3000"/>
        <n v="300"/>
        <n v="650"/>
        <n v="1500"/>
        <n v="160"/>
        <n v="200"/>
        <n v="550"/>
        <n v="301"/>
        <n v="350"/>
        <n v="1050"/>
        <n v="800"/>
        <n v="700"/>
        <n v="400"/>
        <n v="100"/>
        <n v="768"/>
        <n v="50"/>
        <n v="80"/>
        <n v="70"/>
        <n v="450"/>
        <n v="499"/>
        <n v="490"/>
        <n v="600"/>
      </sharedItems>
    </cacheField>
    <cacheField name="起始日期" numFmtId="0">
      <sharedItems containsDate="1" containsBlank="1" containsMixedTypes="1" count="83">
        <s v="2022.12.28至2023.12.27"/>
        <d v="2023-12-01T00:00:00"/>
        <d v="2023-11-30T00:00:00"/>
        <s v="2023.5.23"/>
        <d v="2023-03-30T00:00:00"/>
        <d v="2022-11-28T00:00:00"/>
        <d v="2022-12-12T00:00:00"/>
        <s v="2022.12.22-2024.12.21"/>
        <m/>
        <s v="2023.02.07-2025.02.06"/>
        <s v="2023.06.07"/>
        <s v="2023.11.24"/>
        <d v="2022-07-27T00:00:00"/>
        <d v="2022-08-19T00:00:00"/>
        <d v="2023-03-17T00:00:00"/>
        <s v="2022.10.28"/>
        <d v="2022-12-28T00:00:00"/>
        <d v="2022-07-25T00:00:00"/>
        <d v="2022-11-24T00:00:00"/>
        <d v="2023-02-28T00:00:00"/>
        <d v="2022-12-02T00:00:00"/>
        <d v="2023-02-17T00:00:00"/>
        <d v="2023-11-24T00:00:00"/>
        <d v="2023-03-21T00:00:00"/>
        <d v="2022-12-29T00:00:00"/>
        <d v="2022-10-31T00:00:00"/>
        <d v="2023-12-19T00:00:00"/>
        <s v="2023.1.6"/>
        <s v="2022.11.10"/>
        <s v="2022.12.27"/>
        <d v="2023-11-28T00:00:00"/>
        <d v="2023-06-30T00:00:00"/>
        <s v="2023.4.21"/>
        <d v="2023-08-07T00:00:00"/>
        <d v="2023-08-29T00:00:00"/>
        <d v="2023-11-01T00:00:00"/>
        <d v="2023-06-28T00:00:00"/>
        <d v="2022-11-23T00:00:00"/>
        <d v="2022-11-29T00:00:00"/>
        <d v="2023-05-30T00:00:00"/>
        <d v="2023-05-31T00:00:00"/>
        <s v="2022.11.24"/>
        <d v="2024-12-29T00:00:00"/>
        <d v="2023-11-13T00:00:00"/>
        <d v="2023-11-27T00:00:00"/>
        <d v="2023-09-25T00:00:00"/>
        <d v="2023-01-06T00:00:00"/>
        <d v="2022-11-30T00:00:00"/>
        <d v="2022-12-06T00:00:00"/>
        <d v="2022-12-22T00:00:00"/>
        <d v="2023-06-25T00:00:00"/>
        <d v="2022-12-13T00:00:00"/>
        <d v="2023-10-27T00:00:00"/>
        <d v="2023-09-26T00:00:00"/>
        <s v="2022.12.07"/>
        <s v="2023.06.30"/>
        <d v="2022-12-15T00:00:00"/>
        <d v="2023-03-06T00:00:00"/>
        <d v="2023-05-10T00:00:00"/>
        <d v="2023-01-11T00:00:00"/>
        <d v="2023-09-28T00:00:00"/>
        <d v="2023-05-17T00:00:00"/>
        <d v="2022-08-11T00:00:00"/>
        <d v="2022-10-11T00:00:00"/>
        <d v="2022-10-25T00:00:00"/>
        <d v="2023-07-13T00:00:00"/>
        <n v="44903"/>
        <d v="2023-04-28T00:00:00"/>
        <d v="2023-04-03T00:00:00"/>
        <d v="2023-10-26T00:00:00"/>
        <d v="2023-07-14T00:00:00"/>
        <d v="2022-10-21T00:00:00"/>
        <d v="2022-12-27T00:00:00"/>
        <d v="2023-05-06T00:00:00"/>
        <d v="2023-11-10T00:00:00"/>
        <d v="2022-10-13T00:00:00"/>
        <d v="2022-12-08T00:00:00"/>
        <d v="2023-06-26T00:00:00"/>
        <d v="2023-09-22T00:00:00"/>
        <d v="2023-06-29T00:00:00"/>
        <s v="2022.9.20"/>
        <s v="2022.11.7"/>
        <d v="2022-09-16T00:00:00"/>
      </sharedItems>
    </cacheField>
    <cacheField name="截至日期" numFmtId="0">
      <sharedItems containsDate="1" containsBlank="1" containsMixedTypes="1" count="83">
        <s v="2023.12.27"/>
        <d v="2024-11-25T00:00:00"/>
        <s v="2024年年11月29日"/>
        <s v="2025.5.22"/>
        <d v="2025-03-27T00:00:00"/>
        <d v="2023-11-27T00:00:00"/>
        <d v="2023-12-08T00:00:00"/>
        <s v="2023.12.31"/>
        <m/>
        <s v="2024.06.06"/>
        <s v="2024.11.23"/>
        <d v="2023-07-26T00:00:00"/>
        <d v="2023-08-18T00:00:00"/>
        <d v="2024-03-16T00:00:00"/>
        <s v="2023.10.27"/>
        <d v="2024-12-27T00:00:00"/>
        <d v="2023-07-25T00:00:00"/>
        <d v="2023-11-17T00:00:00"/>
        <d v="2025-02-27T00:00:00"/>
        <d v="2023-11-24T00:00:00"/>
        <d v="2024-01-12T00:00:00"/>
        <d v="2024-01-20T00:00:00"/>
        <d v="2024-03-20T00:00:00"/>
        <s v="2023年12月28"/>
        <s v="日"/>
        <d v="2023-10-30T00:00:00"/>
        <d v="2026-12-08T00:00:00"/>
        <s v="2024.1.5"/>
        <s v="2023.11.09"/>
        <s v="2023.12.26"/>
        <d v="2024-11-28T00:00:00"/>
        <d v="2024-06-30T00:00:00"/>
        <s v="2023.7.20"/>
        <d v="2023-12-25T00:00:00"/>
        <d v="2024-08-06T00:00:00"/>
        <d v="2024-08-28T00:00:00"/>
        <d v="2025-10-31T00:00:00"/>
        <d v="2024-06-27T00:00:00"/>
        <d v="2023-11-22T00:00:00"/>
        <d v="2023-11-28T00:00:00"/>
        <d v="2024-05-28T00:00:00"/>
        <d v="2024-05-30T00:00:00"/>
        <s v="2023.11.23"/>
        <d v="2024-12-28T00:00:00"/>
        <d v="2024-11-12T00:00:00"/>
        <d v="2024-11-26T00:00:00"/>
        <d v="2024-09-25T00:00:00"/>
        <d v="2024-01-05T00:00:00"/>
        <d v="2024-11-29T00:00:00"/>
        <d v="2024-12-05T00:00:00"/>
        <d v="2024-12-21T00:00:00"/>
        <d v="2024-07-24T00:00:00"/>
        <d v="2024-12-12T00:00:00"/>
        <d v="2024-10-25T00:00:00"/>
        <s v="2023.12.06"/>
        <s v="2024.06.29"/>
        <d v="2023-10-24T00:00:00"/>
        <d v="2023-12-19T00:00:00"/>
        <d v="2024-05-09T00:00:00"/>
        <d v="2024-01-09T00:00:00"/>
        <d v="2024-09-28T00:00:00"/>
        <d v="2023-09-10T00:00:00"/>
        <d v="2023-04-09T00:00:00"/>
        <d v="2023-04-23T00:00:00"/>
        <d v="2023-04-29T00:00:00"/>
        <d v="2024-07-12T00:00:00"/>
        <d v="2023-12-07T00:00:00"/>
        <d v="2024-04-27T00:00:00"/>
        <d v="2024-04-02T00:00:00"/>
        <d v="2024-07-13T00:00:00"/>
        <d v="2023-10-20T00:00:00"/>
        <d v="2024-11-23T00:00:00"/>
        <d v="2024-12-26T00:00:00"/>
        <d v="2024-05-05T00:00:00"/>
        <d v="2024-11-09T00:00:00"/>
        <d v="2023-09-18T00:00:00"/>
        <d v="2025-06-19T00:00:00"/>
        <d v="2024-06-02T00:00:00"/>
        <d v="2025-09-21T00:00:00"/>
        <d v="2024-06-28T00:00:00"/>
        <s v="2023.9.20"/>
        <s v="2023.9.30"/>
        <d v="2023-05-31T00:00:00"/>
      </sharedItems>
    </cacheField>
    <cacheField name="申报期间已付利息" numFmtId="0">
      <sharedItems containsDate="1" containsBlank="1" containsMixedTypes="1" count="95">
        <n v="37.4"/>
        <n v="0.57499999999999996"/>
        <n v="1.9166000000000001"/>
        <n v="18.651388000000001"/>
        <n v="29.518000000000001"/>
        <n v="37.409999999999997"/>
        <n v="77.209999999999994"/>
        <n v="40.950000000000003"/>
        <m/>
        <n v="39.04"/>
        <n v="18.63"/>
        <n v="7.21"/>
        <n v="41.414099999999998"/>
        <n v="40.404000000000003"/>
        <n v="21.03"/>
        <n v="85.28"/>
        <n v="48.88"/>
        <n v="35.4"/>
        <n v="74.97"/>
        <n v="35.799999999999997"/>
        <n v="28.262502999999999"/>
        <n v="13.00347"/>
        <n v="4.3499999999999996"/>
        <n v="27.71"/>
        <n v="33.92"/>
        <n v="105"/>
        <n v="2.6"/>
        <n v="18.850000000000001"/>
        <n v="11.7"/>
        <n v="25.71"/>
        <n v="7.59"/>
        <n v="17.07"/>
        <n v="7.7"/>
        <n v="54.15"/>
        <n v="8.0692000000000004"/>
        <n v="6.9997999999999996"/>
        <n v="5.74"/>
        <n v="20.12"/>
        <n v="5.61"/>
        <n v="23.26"/>
        <n v="3.5055999999999998"/>
        <n v="4.0960999999999999"/>
        <n v="20.22"/>
        <n v="20.239999999999998"/>
        <n v="16.89"/>
        <n v="0.9"/>
        <n v="0.95"/>
        <n v="3.26"/>
        <n v="46.18"/>
        <n v="28.86"/>
        <n v="28.5"/>
        <n v="27.55"/>
        <n v="8.08"/>
        <n v="27.99"/>
        <n v="7.8833339999999996"/>
        <n v="10.572915"/>
        <n v="11.2"/>
        <n v="6.56"/>
        <s v="（包含24年1月利息）"/>
        <n v="23.43"/>
        <n v="7.44"/>
        <n v="15.82"/>
        <n v="2.5854189999999999"/>
        <n v="27.17"/>
        <n v="9.5221"/>
        <n v="11.407512000000001"/>
        <n v="1.075"/>
        <n v="1.9715279999999999"/>
        <n v="1.044791"/>
        <n v="1.7"/>
        <n v="1.4875020000000001"/>
        <n v="18.666668000000001"/>
        <d v="1900-01-16T14:24:00"/>
        <n v="11.87"/>
        <n v="16.78"/>
        <n v="2.2949999999999999"/>
        <n v="16.989999999999998"/>
        <n v="14.7986"/>
        <n v="11.8"/>
        <n v="21.44"/>
        <n v="21.27"/>
        <n v="45.95"/>
        <n v="42.45"/>
        <n v="28.67"/>
        <n v="2.5783330000000002"/>
        <n v="16.79"/>
        <n v="18.079999999999998"/>
        <n v="24.51"/>
        <n v="22.061111"/>
        <n v="19.356943999999999"/>
        <n v="20.555553"/>
        <n v="39.541665999999999"/>
        <n v="21.254999999999999"/>
        <n v="4.7180549999999997"/>
        <n v="2.3590279999999999"/>
      </sharedItems>
    </cacheField>
    <cacheField name="申报补助金额" numFmtId="185">
      <sharedItems containsString="0" containsBlank="1" containsNumber="1" minValue="0" maxValue="60" count="78">
        <n v="15"/>
        <n v="1.27"/>
        <n v="1.31"/>
        <n v="9.16"/>
        <n v="11.38"/>
        <n v="40"/>
        <n v="18.98"/>
        <m/>
        <n v="17.920000000000002"/>
        <n v="8.5500000000000007"/>
        <n v="1.56"/>
        <n v="14.99"/>
        <n v="5.96"/>
        <n v="15.16"/>
        <n v="35.31"/>
        <n v="12.57"/>
        <n v="6.51"/>
        <n v="1.52"/>
        <n v="12.82"/>
        <n v="60"/>
        <n v="2.14"/>
        <n v="7.4"/>
        <n v="3"/>
        <n v="9.75"/>
        <n v="1.36"/>
        <n v="7.6"/>
        <n v="3.74"/>
        <n v="30"/>
        <n v="2.5499999999999998"/>
        <n v="2.5099999999999998"/>
        <n v="7.64"/>
        <n v="7.5"/>
        <n v="0.95"/>
        <n v="1.01"/>
        <n v="8.25"/>
        <n v="0.26"/>
        <n v="0.42"/>
        <n v="1.4"/>
        <n v="20.66"/>
        <n v="8.14"/>
        <n v="8.0299999999999994"/>
        <n v="7.7"/>
        <n v="3.84"/>
        <n v="11.69"/>
        <n v="2.67"/>
        <n v="3.95"/>
        <n v="4.51"/>
        <n v="1.51"/>
        <n v="9.1300000000000008"/>
        <n v="2.9"/>
        <n v="5.85"/>
        <n v="0.64"/>
        <n v="10.210000000000001"/>
        <n v="6.25"/>
        <n v="0.25"/>
        <n v="0.49"/>
        <n v="0.39"/>
        <n v="0.35"/>
        <n v="7.07"/>
        <n v="5.0999999999999996"/>
        <n v="6.17"/>
        <n v="1.22"/>
        <n v="7.03"/>
        <n v="10.74"/>
        <n v="2.99"/>
        <n v="7.49"/>
        <n v="7.42"/>
        <n v="16.41"/>
        <n v="9.86"/>
        <n v="1.47"/>
        <n v="6.36"/>
        <n v="7.35"/>
        <n v="7.68"/>
        <n v="7.77"/>
        <n v="4.1500000000000004"/>
        <n v="8.06"/>
        <n v="1.41"/>
        <n v="0.7"/>
      </sharedItems>
    </cacheField>
    <cacheField name="联系人" numFmtId="0">
      <sharedItems containsBlank="1" count="61">
        <s v="陈佳"/>
        <s v="邵炜雯"/>
        <s v="柴爽"/>
        <s v="张洋"/>
        <s v="谢道强"/>
        <s v="邓涛"/>
        <s v="肖玉梅"/>
        <m/>
        <s v="吴欣燱"/>
        <s v="王月"/>
        <s v="郑小林"/>
        <s v="杨春兰"/>
        <s v="王利华"/>
        <s v="肖瑶"/>
        <s v="周瑶"/>
        <s v="汪霞"/>
        <s v="王丽"/>
        <s v="王培杰"/>
        <s v="何恒星"/>
        <s v="李冬梅"/>
        <s v="杨艳秋"/>
        <s v="龙旭"/>
        <s v="郑惠文"/>
        <s v="侯涛"/>
        <s v="杨洁"/>
        <s v="陈霞"/>
        <s v="孟伟"/>
        <s v="唐小惠"/>
        <s v="陆万霞"/>
        <s v="彭霞"/>
        <s v="蒲丹"/>
        <s v="赵云峰"/>
        <s v="何小丽"/>
        <s v="杨德秀"/>
        <s v="张云"/>
        <s v="张洁"/>
        <s v="曾雪"/>
        <s v="张茜"/>
        <s v="张明艳"/>
        <s v="邓雯一"/>
        <s v="伍春霏"/>
        <s v="向春丽"/>
        <s v="吴静"/>
        <s v="杨星雨"/>
        <s v="陈思颖"/>
        <s v="严紫敬"/>
        <s v="卫英杰"/>
        <s v="陈锐"/>
        <s v="庞登一"/>
        <s v="罗琪"/>
        <s v="朱志燕"/>
        <s v="张益"/>
        <s v="杨雪梅"/>
        <s v="艾磊"/>
        <s v="任娅婷"/>
        <s v="周国军"/>
        <s v="汤锐"/>
        <s v="黄露梅"/>
        <s v="廖敏"/>
        <s v="白蕾"/>
        <s v="王晓满"/>
      </sharedItems>
    </cacheField>
    <cacheField name="联系电话" numFmtId="0">
      <sharedItems containsBlank="1" containsMixedTypes="1" containsNumber="1" containsInteger="1" count="62">
        <n v="15884465651"/>
        <n v="15882111363"/>
        <n v="13101049007"/>
        <n v="18612972350"/>
        <n v="13882059129"/>
        <n v="13981904650"/>
        <n v="18183318709"/>
        <m/>
        <n v="18010635607"/>
        <n v="18482342957"/>
        <n v="17781212146"/>
        <n v="13540323586"/>
        <n v="15881613727"/>
        <n v="13982134763"/>
        <s v="028-63858795"/>
        <n v="15675660421"/>
        <n v="18908017823"/>
        <n v="13438072932"/>
        <n v="13688498890"/>
        <n v="18989197161"/>
        <n v="15881064686"/>
        <n v="18000578134"/>
        <n v="15928401030"/>
        <n v="13060085313"/>
        <n v="13688499899"/>
        <n v="13540836880"/>
        <n v="18613215055"/>
        <n v="15390090923"/>
        <n v="18980643183"/>
        <n v="15198232554"/>
        <n v="18382352586"/>
        <n v="13980483240"/>
        <n v="15828080284"/>
        <n v="18980406532"/>
        <n v="18190820751"/>
        <n v="15884455778"/>
        <n v="13378120657"/>
        <n v="19980473506"/>
        <n v="18224006326"/>
        <n v="13547825303"/>
        <n v="18380435817"/>
        <n v="13268"/>
        <n v="251195"/>
        <n v="13472423172"/>
        <n v="18780278201"/>
        <n v="13700977470"/>
        <n v="18380239362"/>
        <n v="18328068169"/>
        <n v="15198161414"/>
        <n v="19940893280"/>
        <n v="15928067167"/>
        <n v="18000595277"/>
        <n v="18583998058"/>
        <n v="15308051933"/>
        <n v="13982231353"/>
        <n v="13658044543"/>
        <n v="15196643070"/>
        <n v="13438165530"/>
        <n v="15708454402"/>
        <n v="15828695067"/>
        <n v="18010525619"/>
        <n v="18108273444"/>
      </sharedItems>
    </cacheField>
    <cacheField name="备注" numFmtId="0">
      <sharedItems containsBlank="1" count="2">
        <m/>
        <s v="2023/5/23提前还款100万2023/11/23提前还款100万"/>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519.717696759297" createdVersion="6" refreshedVersion="5" minRefreshableVersion="3" recordCount="96" xr:uid="{00000000-000A-0000-FFFF-FFFF01000000}">
  <cacheSource type="worksheet">
    <worksheetSource name="#NAME?"/>
  </cacheSource>
  <cacheFields count="28">
    <cacheField name="序号" numFmtId="0">
      <sharedItems containsSemiMixedTypes="0" containsString="0" containsNumber="1" containsInteger="1" minValue="0" maxValue="62" count="62">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sharedItems>
    </cacheField>
    <cacheField name="企业名称" numFmtId="0">
      <sharedItems containsBlank="1" count="64">
        <s v="成都净蓝科技有限公司"/>
        <s v="成都锐思环保技术股份有限公司"/>
        <s v="四川新荷花中药饮片股份有限公司"/>
        <s v="成都纵横大鹏无人机科技有限公司"/>
        <s v="成都恒成工具股份有限公司"/>
        <s v="成都瀚德科技有限公司"/>
        <s v="四川携光生物技术有限公司"/>
        <s v="成都前锋电子有限责任公司"/>
        <s v="四川赛狄信息技术股份公司"/>
        <s v="四川泰猷科技有限公司"/>
        <s v="成都天奥信息科技有限公司"/>
        <s v="成都国恒空间技术工程股份有限公司"/>
        <s v="四川盛玖源环境工程有限公司"/>
        <s v="成都锐成芯微科技股份有限公司"/>
        <s v="四川赛康智能科技股份有限公司"/>
        <s v="成都硅宝科技股份有限公司"/>
        <s v="成都锐芯盛通电子科技有限公司"/>
        <s v="成都瑞隆祥科技有限公司"/>
        <s v="成都正升能源技术开发有限公司"/>
        <s v="成都恩沐生物科技有限公司"/>
        <s v="成都星联芯通科技有限公司"/>
        <s v="成都云智北斗科技有限公司"/>
        <s v="四川省西点能源有限公司"/>
        <s v="成都思越智能装备股份有限公司"/>
        <s v="成都富元辰科技有限公司"/>
        <s v="成都戎星科技有限公司"/>
        <s v="成都路维光电有限公司"/>
        <s v="成都中科华微电子有限公司"/>
        <s v="四川图林科技有限责任公司"/>
        <s v="成都成电光信科技股份有限公司"/>
        <s v="成都迪真计算机科技有限公司"/>
        <s v="迪威弗智能装备集团有限公司"/>
        <s v="成都华栖云科技有限公司"/>
        <s v="四川安迪科技实业有限公司"/>
        <s v="成都汇辙科技有限公司"/>
        <s v="成都瑞迪威科技有限公司"/>
        <s v="成都星云智联科技有限公司"/>
        <s v="成都明夷电子科技股份有限公司"/>
        <s v="成都国星宇航科技股份有限公司"/>
        <s v="成都汉度科技有限公司"/>
        <s v="成都宜泊信息科技有限公司"/>
        <s v="四川新科电子技术工程有限责任公司"/>
        <s v="四川金信石信息技术有限公司"/>
        <s v="成都天马微电子有限公司"/>
        <s v="海创药业股份有限公司"/>
        <s v="成都森未科技有限公司"/>
        <s v="成都天奥测控技术有限公司"/>
        <s v="成都普什制药有限公司"/>
        <s v="成都邦普切削刀具股份有限公司"/>
        <s v="成都飞机工业集团电子科技有限公司"/>
        <s v="四川骏逸富顿科技有限公司"/>
        <s v="成都晨发泰达航空科技股份有限公司"/>
        <s v="成都蕊源半导体科技股份有限公司"/>
        <s v="成都开飞高能化学工业有限公司"/>
        <s v="四川省华盾防务科技股份有限公司"/>
        <s v="成都特来电新能源有限公司"/>
        <s v="成都利普芯微电子有限公司"/>
        <s v="成都中航华测科技有限公司"/>
        <s v="成都英黎科技有限公司"/>
        <s v="四川尚锐生物医药有限公司"/>
        <s v="威特龙消防安全集团股份公司"/>
        <s v="四川斯艾普电子科技有限公司"/>
        <s v="成都明夷电子科技有限公司" u="1"/>
        <m u="1"/>
      </sharedItems>
    </cacheField>
    <cacheField name="注册机关" numFmtId="0">
      <sharedItems count="13">
        <s v="成都高新技术产业开发区市场监督管理局"/>
        <s v="成都市市场监督管理局"/>
        <s v="成都高新市场监管局"/>
        <s v="成都高新区市场监督管理局"/>
        <s v="成都市高新区市场监督管理局"/>
        <s v="成都高新技术产业开发区"/>
        <s v="高新区"/>
        <s v="成都高新区"/>
        <s v="高新区市场监督管理局"/>
        <s v="成都市高新技术产业开发区市场监督管理局"/>
        <s v="成都市工商局"/>
        <s v="四川省市场监督管理局"/>
        <s v="成都市成华区行政审批局"/>
      </sharedItems>
    </cacheField>
    <cacheField name="统一社会信用代码" numFmtId="0">
      <sharedItems count="62">
        <s v="91510100075378753R"/>
        <s v="915101007130802905"/>
        <s v="91510100734795009L"/>
        <s v="91510122MA61RK0C98"/>
        <s v="91510100720333057H"/>
        <s v="91510100693667819J"/>
        <s v="91510100MA6C9EGJ37"/>
        <s v="915101007253638373"/>
        <s v="9151000066028378XC"/>
        <s v="91510100MA61RR7JXK"/>
        <s v="91510100777498012Q"/>
        <s v="91510100790008903N"/>
        <s v="91510100MA62Q8150A"/>
        <s v="915101005875590800"/>
        <s v="915101007528151223"/>
        <s v="91510100713042497M"/>
        <s v="91510100394481221U"/>
        <s v="91510100MA61T33473"/>
        <s v="91510100572269734X"/>
        <s v="91510100MA61WUE12U"/>
        <s v="91510100331925075E"/>
        <s v="91510104MA641HUQ75"/>
        <s v="915101003506427163"/>
        <s v="91510100MA6CDAY97U"/>
        <s v="91510100MA61XWLW1M"/>
        <s v="91510100343121066D"/>
        <s v="91510100MA6CR2PD7B"/>
        <s v="91510100394287808P"/>
        <s v="91510000791828903U"/>
        <s v="9151010057463511XR"/>
        <s v="91510100327426521N"/>
        <s v="91510100MA6AQHFC9J"/>
        <s v="91510100MA61X50Q56"/>
        <s v="91510100720357323F"/>
        <s v="91510100MA6CAUPX43"/>
        <s v="9151010009831180XG"/>
        <s v="91510100582616760L"/>
        <s v="91510100MA61R5XP4P"/>
        <s v="91510122MA6CEC3QX8"/>
        <s v="91510100054913286C"/>
        <s v="91510100343030842A"/>
        <s v="915100002018791549"/>
        <s v="91510100562012046W"/>
        <s v="9151010067966155X9"/>
        <s v="915101000624182263"/>
        <s v="91510100MA6DE3KG2W"/>
        <s v="91510100755952122H"/>
        <s v="9151010066302760XF"/>
        <s v="91510100725362949Q"/>
        <s v="91510100758783256J"/>
        <s v="9151010039628749XP"/>
        <s v="91510100MA61TY51XJ"/>
        <s v="91510100MA61WTPR2G"/>
        <s v="91510100709203032R"/>
        <s v="91510100737729605K"/>
        <s v="915101003505259074"/>
        <s v="91510100MA67GLY99L"/>
        <s v="91510107066992989P"/>
        <s v="91510100734807532R"/>
        <s v="915101006743448627"/>
        <s v="91510000698873187M"/>
        <s v="91510108091280721T"/>
      </sharedItems>
    </cacheField>
    <cacheField name="企业性质" numFmtId="0">
      <sharedItems count="25">
        <s v="私营企业"/>
        <s v="股份有限公司"/>
        <s v="民营企业"/>
        <s v="其他股份有限公司"/>
        <s v="民营"/>
        <s v="其他有限责任公司"/>
        <s v="有限责任公司"/>
        <s v="小型企业"/>
        <s v="民营股份有限公司"/>
        <s v="私营股份有限公司"/>
        <s v="有限责任公司(自然人投资或控股)"/>
        <s v="私营"/>
        <s v="有限责任公司（自然人投资或控股）"/>
        <s v="私营有限责任公司"/>
        <s v="国有"/>
        <s v="其他股份有限公司(非上市)"/>
        <s v="中小企业"/>
        <s v="中外合资"/>
        <s v="国有企业"/>
        <s v="国有参股"/>
        <s v="股份制企业"/>
        <s v="外商投资企业"/>
        <s v="国有混合"/>
        <s v="有限责任公司（民营）"/>
        <s v="私营有限公司"/>
      </sharedItems>
    </cacheField>
    <cacheField name="税收解缴机关" numFmtId="0">
      <sharedItems count="16">
        <s v="国家税务总局成都高新技术产业开发区税务局"/>
        <s v="高新区税务局"/>
        <s v="成都市高新区税务局"/>
        <s v="成都高新技术产业开发区税务局"/>
        <s v="成都高新区税务局"/>
        <s v="高新区"/>
        <s v="成都高新技术产业开发区税务局第二税务所"/>
        <s v="成都高新税务局"/>
        <s v="成都高新区税务局西园税务所"/>
        <s v="成都高新区税务局第二税务所"/>
        <s v="国家税务总局成都高新技术产业开发区税务局第二税务所"/>
        <s v="高新税务局"/>
        <s v="成都高新技术产业开发区"/>
        <s v="国家税务局成都高新技术产业开发区税务局"/>
        <s v="成都高新技术产业开发区税务局西园税务所"/>
        <s v="成都市成华区税务局"/>
      </sharedItems>
    </cacheField>
    <cacheField name="收款账号（注明开户行）" numFmtId="0">
      <sharedItems count="63">
        <s v="4402235009100123919中国工商银行成都高新城南支行"/>
        <s v="129343209717（中国银行股份有限公司成都锦城支行）"/>
        <s v="成都银行金牛支行"/>
        <s v="中国工商银行成都府河音乐花园支行4402 9391 0910 0038 764"/>
        <s v="中国建设银行成都益州支行51001416181059000011"/>
        <s v="4402235009100078721 工行成都城南支行"/>
        <s v="51050148853609111106（中国建设银行成都白果林支行）"/>
        <s v="2010150134080016258上海浦东发展银行股份有限公司成都分行"/>
        <s v="工商银行成都高新西部园区支行营业室"/>
        <s v="51050142624200000036(中国建设银行股份有限公司成都天府新谷支行)"/>
        <s v="51001416146059666888                     建设银行成都茶店子支行"/>
        <s v="633322769中国民生银行股份有限公司成都分行"/>
        <s v="122611954032中国银行成都东电支行"/>
        <s v="中国工商银行股份有限公司成都草市支行"/>
        <s v="成都银行股份有限公司科技支行1001300000216171"/>
        <s v="44029220009022503458中国工商银行股份有限公司成都永丰路支行"/>
        <s v="51001488561052504587开户银行:中国建设银行股份有限公司成都龙腾路支行"/>
        <s v="4402243409100038006（开户行：中国工商银行股份有限公司成都金牛支行一品天下分理处）"/>
        <s v="中国银行成都万科支行119863706389"/>
        <s v="51050148850800001127   建设银行成都第八支行"/>
        <s v="4402275219100024845"/>
        <s v="1001300000935932（行号：313651031011）"/>
        <s v="6510000010120100518805浙商银行股份有限公司成都分行"/>
        <s v="中国银行郫都汉正广场支行  12125718 1169"/>
        <s v="1001300000892336（成都银行八里庄支行）"/>
        <s v="成都银行武侯新城支行"/>
        <s v="22808801040022548（中国农业银行成都高新技术产业开发区支行）"/>
        <s v="1000050006624989（成都农商银行西区支行）"/>
        <s v="中国光大银行成都蜀汉路支行39870188000019337"/>
        <s v="1001300000746815（成都银行股份有限公司西区支行）"/>
        <s v="4402203009100220530中国工商银行股份有限公司成都红牌楼支行"/>
        <s v="开户行：中信银行光华支行"/>
        <s v="22808801040020732（中国农业银行成都高新技术产业开发区支行）"/>
        <s v="22801501040022053 （农业银行成都府青路支行）"/>
        <s v="收款账号：03003551497  开户行：    上海银行成都高新支行"/>
        <s v="中国建设银行股份有限公司成都第九支行（51001498408051528901）"/>
        <s v="51001885136051502905（中国建设银行股份有限公司成都沙湾支行"/>
        <s v="1001300000717987（成都银行科技支行）"/>
        <s v="511511300013002287482交通银行成都双流分行"/>
        <s v="4402211109100030608（中国工商银行股份有限公司成都鹭岛支行）"/>
        <s v="1001300000414084（成都银行南城支行"/>
        <s v="51001458208050034784（中国建设银行股份有限公司成都第五支行）"/>
        <s v="1001300000715090成都银行交大路支行"/>
        <s v="4402254719100095764中国工商银行股份有限公司成都郫都鹃城支行"/>
        <s v="招商银行股份有限公司锦官城支行128905498610603"/>
        <s v="431250100100111861（兴业银行成都提督街支行）"/>
        <s v="建行成都茶店子支行51001416146051502609"/>
        <s v="51001458208051504835中国建设银行股份有限公司成都第五支行"/>
        <s v="51001416108059450025建行成都市第一支行"/>
        <s v="成都工商银行黄田坝分理处 4402219009100009913"/>
        <s v="成都农村商业银行股份有限公司聚兴支行1000020007453011"/>
        <s v="81012100000093595（乐山市商业银行成都分行）"/>
        <s v="698038262民生银行成都铁像寺支行"/>
        <s v="收款账号:511601019010123011928(开户行:交通银行成都温江支行)"/>
        <s v="成都银行西区支行 1001300000667420"/>
        <s v="户名：成都特来电新能源有限公司开户行：成都农村商业银行股份有限公司大源支行账号：1000060006541960"/>
        <s v="1001300001104517（成都银行二仙桥东路支行）"/>
        <s v="账号：4402208009100373143开户行：工商银行成都春熙路步行街支行"/>
        <s v="中国农业银行股份有限公司成都府青路支行801501040003566"/>
        <s v="4402005609000009015工商银行成都华西医院支行"/>
        <s v="中国银行股份有限公司郫都支行122556288822"/>
        <s v="4402211019100128101(中国工商银行股份有限公司成都沙河支行)"/>
        <s v="129328165210(中国银行股份有限公司成都成华支行)"/>
      </sharedItems>
    </cacheField>
    <cacheField name="贷款产品" numFmtId="0">
      <sharedItems count="3">
        <s v="新e贷"/>
        <s v="新易贷·惠业"/>
        <s v="新易贷·培优"/>
      </sharedItems>
    </cacheField>
    <cacheField name="贷款银行（明确到支行）" numFmtId="0">
      <sharedItems count="38">
        <s v="中国工商银行成都高新技术产业开发区支行"/>
        <s v="中国民生银行成都分行"/>
        <s v="成都银行高新支行"/>
        <s v="成都银行青羊支行"/>
        <s v="中国民生银行成都支行"/>
        <s v="成都农商银行簇桥支行"/>
        <s v="中国工商银行成都双流支行"/>
        <s v="中国建设银行股份有限公司成都第八支行"/>
        <s v="成都银行金牛支行"/>
        <s v="成都银行科技支行"/>
        <s v="中国工商银行成都金牛支行"/>
        <s v="中国银行成都开发西区支行"/>
        <s v="成都农商银行龙泉驿西河支行"/>
        <s v="成都农商银行武侯支行"/>
        <s v="成都银行武侯支行"/>
        <s v="成都银行华兴支行"/>
        <s v="成都银行成华支行"/>
        <s v="兴业银行人民南路支行"/>
        <s v="成都农商银行西区支行"/>
        <s v="民生银行骡马市支行"/>
        <s v="中国银行成都青羊支行"/>
        <s v="成都农商银行高新支行"/>
        <s v="成都银行营业部"/>
        <s v="中国工商银行成都滨江支行"/>
        <s v="成都农商银行东部新区支行"/>
        <s v="中国工商银行成都郫都支行"/>
        <s v="成都银行琴台支行"/>
        <s v="成都农商银行青龙支行"/>
        <s v="中国民生银行成都锦江支行"/>
        <s v="中国工商银行成都草市支行"/>
        <s v="成都农商银行金牛支行"/>
        <s v="民生银行成都高新支行"/>
        <s v="中国银行成都成华支行"/>
        <s v="成都银行有限公司成华支行"/>
        <s v="成都农商银行青羊支行"/>
        <s v="中国工商银行成都春熙支行"/>
        <s v="兴业银行成都分行"/>
        <s v="中国工商银行成都沙河支行"/>
      </sharedItems>
    </cacheField>
    <cacheField name="贷款期限" numFmtId="0">
      <sharedItems count="8">
        <s v="12月"/>
        <s v="10月"/>
        <s v="24月"/>
        <s v="1月"/>
        <s v="6月"/>
        <s v="18月"/>
        <s v="13月"/>
        <s v="36月"/>
      </sharedItems>
    </cacheField>
    <cacheField name="贷款金额" numFmtId="0">
      <sharedItems containsSemiMixedTypes="0" containsString="0" containsNumber="1" containsInteger="1" minValue="0" maxValue="3000" count="27">
        <n v="200"/>
        <n v="100"/>
        <n v="1000"/>
        <n v="600"/>
        <n v="450"/>
        <n v="490"/>
        <n v="700"/>
        <n v="499"/>
        <n v="300"/>
        <n v="2000"/>
        <n v="550"/>
        <n v="500"/>
        <n v="50"/>
        <n v="80"/>
        <n v="70"/>
        <n v="768"/>
        <n v="400"/>
        <n v="301"/>
        <n v="800"/>
        <n v="1050"/>
        <n v="350"/>
        <n v="160"/>
        <n v="1500"/>
        <n v="650"/>
        <n v="3000"/>
        <n v="1800"/>
        <n v="999"/>
      </sharedItems>
    </cacheField>
    <cacheField name="借款合同号" numFmtId="49">
      <sharedItems count="93">
        <s v="0440200055-2022年(高新)字02406号"/>
        <s v="0440200055-2022年(高新)字02404号"/>
        <s v="公流贷字第ZX22000000402404号"/>
        <s v="公流贷字第ZX22000000412530号"/>
        <s v="H200101230626467"/>
        <s v="H510701230626820"/>
        <s v="公流贷字第ZX23090000429479号"/>
        <s v="成农商簇一公流借20230042"/>
        <s v="成农商簇一公流借20230043"/>
        <s v="0440200077-2022年(双流)字01564号"/>
        <s v="0440200077-2021年(双流)字01135号"/>
        <s v="2023BGL短期工流001号"/>
        <s v="H340101230506520"/>
        <s v="公流贷字第ZX22000000409079号"/>
        <s v="公流贷字第ZX22000000411289号"/>
        <s v="公流贷字第ZX22000000415634号"/>
        <s v="公流贷字第ZX22000000422132号"/>
        <s v="H180401221128560"/>
        <s v="0440200059-2023年(金牛)字03788号"/>
        <s v="H200101230712780"/>
        <s v="2023年开流贷字(501)119号"/>
        <s v="公流贷字第ZX23040000269498号"/>
        <s v="成农商驿西公流借20230003"/>
        <s v="成农商武公流借20220096"/>
        <s v="H180401230704340"/>
        <s v="0440200059-2022年(金牛)字03286号"/>
        <s v="0440200059-2022年(金牛)字04159号"/>
        <s v="0440200059-2022年(金牛)字04160号"/>
        <s v="0440200059-2022年(金牛)字04379号"/>
        <s v="0440200059-2022年(金牛)字04447号"/>
        <s v="成农商簇一公流借20230025"/>
        <s v="510010715657889220"/>
        <s v="H170101230109160"/>
        <s v="H310101230505060"/>
        <s v="H510701221220680"/>
        <s v="H340101221208703"/>
        <s v="H060101221205480"/>
        <s v="H060101230630065"/>
        <s v="兴银蓉（贷）2308第07757号"/>
        <s v="H180401231012543"/>
        <s v="成农商西营公流借20220012"/>
        <s v="成农商武公流借20230077"/>
        <s v="H340101230106420"/>
        <s v="公流贷字第ZH2200000149777号"/>
        <s v="公流贷字第ZH2200000150617号"/>
        <s v="公流贷字第ZH2200000152386号"/>
        <s v="510010715657833722"/>
        <s v="2023年中青中小借字116号"/>
        <s v="2023年中青中小借字117号"/>
        <s v="成农商高营公流借20220156"/>
        <s v="成农商高营公流借20220155"/>
        <s v="H310101221124582"/>
        <s v="H310101230529220"/>
        <s v="H310101230531240"/>
        <s v="H200101221123160"/>
        <s v="公流贷字第ZH2200000148730号"/>
        <s v="H010101230627620"/>
        <s v="H180401221226080"/>
        <s v="成农商高营公流借20230090"/>
        <s v="H340101230331320"/>
        <s v="0440200050-2023年(滨江)字02905号"/>
        <s v="2023年开流贷字（501）132号"/>
        <s v="H510701221110120"/>
        <s v="H510701221227843"/>
        <s v="成农商东公流借20220009"/>
        <s v="0440200544-2023年（郫县）字02341号"/>
        <s v="H190101221012380"/>
        <s v="成农商高营公流借20230009"/>
        <s v="H310101221223100"/>
        <s v="0440200059-2022年(金牛)字03553号"/>
        <s v="0440200059-2022年（金牛）字05057号"/>
        <s v="0440200059-2023年(金牛)字04355号"/>
        <s v="H190101221116841"/>
        <s v="成农商龙公流借20230009"/>
        <s v="公流贷字第ZX22000000422328号"/>
        <s v="0440200044-2022年(草市)字04291号"/>
        <s v="H340101221028044"/>
        <s v="成农商金聚公流借20230001"/>
        <s v="公流贷字第ZX22000000391059号"/>
        <s v="公流贷字第ZX22000000395892号"/>
        <s v="H510701230607540"/>
        <s v="2023年中成中小借字第W056号"/>
        <s v="成农商高营公流借20220144"/>
        <s v="H340101221209762"/>
        <s v="成农商高大公流借20220020"/>
        <s v="H060101230323660"/>
        <s v="成农商青公流借20230042"/>
        <s v="0440200023-2023年（春熙）字02258号"/>
        <s v="0440200023-2023年（春熙）字02255号"/>
        <s v="成农商青公流借20220117"/>
        <s v="兴银蓉（贷）2310第35515号"/>
        <s v="0440200053-2023年(沙河)字01962号"/>
        <s v="2023年中成中小借字第040号"/>
      </sharedItems>
    </cacheField>
    <cacheField name="借据单号" numFmtId="49">
      <sharedItems count="96">
        <s v="0440200055-2022年(信)字001538号"/>
        <s v="0440200055-2022年(信)字001535号"/>
        <s v="ZX22000000402404"/>
        <s v="ZX22000000412530"/>
        <s v="J200101230626467001"/>
        <s v="J510701230626820001"/>
        <s v="ZX23090000429479"/>
        <s v="00739300"/>
        <s v="00739299"/>
        <s v="0440200077-2022年(信)字001087号"/>
        <s v="0440200077-2022年(抵)字001288号"/>
        <s v="10132285"/>
        <s v="J340101230506520001"/>
        <s v="ZX22000000409079"/>
        <s v="ZX22000000411289"/>
        <s v="ZX22000000415634"/>
        <s v="ZX22000000422132"/>
        <s v="J180401221128560001"/>
        <s v="0440200059-2023年（借）字002708号"/>
        <s v="J200101230712780001"/>
        <s v="2023年开流贷字（501）119号"/>
        <s v="ZX23040000269498"/>
        <s v="110050000256643"/>
        <s v="110080000209749"/>
        <s v="J180401230704340001"/>
        <s v="0440200059-2022年(信)字002189号"/>
        <s v="0440200059-2022年(信)字002748号"/>
        <s v="0440200059-2022年(信)字002749号"/>
        <s v="0440200059-2022年(信)字002888号"/>
        <s v="0440200059-2022年(信)字002942号"/>
        <s v="110090000262265"/>
        <s v="51000170816PPP704XV"/>
        <s v="J170101230109160001"/>
        <s v="J310101230505060001"/>
        <s v="J510701221220680001"/>
        <s v="J340101221208703001"/>
        <s v="J340101221208703002"/>
        <s v="J060101221205480001"/>
        <s v="J060101230630065001"/>
        <s v="431260100300060297、431260100300060176"/>
        <s v="J180401231012543001"/>
        <s v="00840477、00838955"/>
        <s v="110090000290584、110050000290010、110030000288273、110060000285664、110070000284094、110040000279386"/>
        <s v="J340101230106420001"/>
        <s v="9922000000047574"/>
        <s v="9922000000047807"/>
        <s v="9922000000050597"/>
        <s v="51000170816PPAD28VJ"/>
        <s v="2023年中青中小借字116号"/>
        <s v="2023年中青中小借字117号"/>
        <s v="110030000214946、110010000214947"/>
        <s v="110090000214948"/>
        <s v="H310101221124582001"/>
        <s v="J310101230529220001"/>
        <s v="J310101230531240001"/>
        <s v="J200101221123160001"/>
        <s v="9922000000047334"/>
        <s v="J010101230627620001"/>
        <s v="J180401221226080001"/>
        <s v="00957239"/>
        <s v="00957238"/>
        <s v="J340101230331320001"/>
        <s v="0440200050-2023年（借）字002085号"/>
        <s v="2023年开流贷字（501）132号"/>
        <s v="J510701221110120001"/>
        <s v="J510701221227843001"/>
        <s v="00784494"/>
        <s v="0440200544-2023年（借）字002004号、0440200544-2023年（借）字002085号、0440200544-2023年（借）字002086号"/>
        <s v="J190101221012380001"/>
        <s v="110090000240136"/>
        <s v="J310101221223100001"/>
        <s v="0440200059-2022年(借)字003156号"/>
        <s v="0440200059-2023年（借）字000195号"/>
        <s v="0440200059-2023年（借）字003070号"/>
        <s v="J190101221116841001"/>
        <s v="110090000231410"/>
        <s v="ZX22000000422328"/>
        <s v="0440200044-2022年(借)字003221号"/>
        <s v="J340101221028044001"/>
        <s v="110080000242555"/>
        <s v="ZX22000000391059"/>
        <s v="ZX22000000395892"/>
        <s v="J510701230607540001"/>
        <s v="总字第2023号中成中小借字第W056号"/>
        <s v="110020000213099"/>
        <s v="110000000224697"/>
        <s v="J340101221209762001"/>
        <s v="00785084"/>
        <s v="J060101230323660001"/>
        <s v="00966405"/>
        <s v="0440200023-2023年（信）字 001571号"/>
        <s v="0440200023-2023年（抵）字001621号"/>
        <s v="110040000214578"/>
        <s v="431250100300148622、431250100300148743 "/>
        <s v="0440200053-2023年(借)字001779号"/>
        <s v="2023年中成中小借字第040号"/>
      </sharedItems>
    </cacheField>
    <cacheField name="起始日期" numFmtId="14">
      <sharedItems containsSemiMixedTypes="0" containsNonDate="0" containsDate="1" containsString="0" minDate="2022-07-25T00:00:00" maxDate="2023-12-19T00:00:00" count="73">
        <d v="2022-09-16T00:00:00"/>
        <d v="2022-09-20T00:00:00"/>
        <d v="2022-11-07T00:00:00"/>
        <d v="2023-06-30T00:00:00"/>
        <d v="2023-06-26T00:00:00"/>
        <d v="2023-09-22T00:00:00"/>
        <d v="2023-06-28T00:00:00"/>
        <d v="2022-10-13T00:00:00"/>
        <d v="2022-12-08T00:00:00"/>
        <d v="2023-11-10T00:00:00"/>
        <d v="2023-05-08T00:00:00"/>
        <d v="2022-10-21T00:00:00"/>
        <d v="2022-10-31T00:00:00"/>
        <d v="2022-11-24T00:00:00"/>
        <d v="2022-12-27T00:00:00"/>
        <d v="2022-11-28T00:00:00"/>
        <d v="2023-09-26T00:00:00"/>
        <d v="2023-07-14T00:00:00"/>
        <d v="2023-10-31T00:00:00"/>
        <d v="2023-04-03T00:00:00"/>
        <d v="2023-04-28T00:00:00"/>
        <d v="2023-07-13T00:00:00"/>
        <d v="2022-08-11T00:00:00"/>
        <d v="2022-10-11T00:00:00"/>
        <d v="2022-10-25T00:00:00"/>
        <d v="2023-05-17T00:00:00"/>
        <d v="2023-09-28T00:00:00"/>
        <d v="2023-01-11T00:00:00"/>
        <d v="2023-05-11T00:00:00"/>
        <d v="2022-12-28T00:00:00"/>
        <d v="2022-12-15T00:00:00"/>
        <d v="2023-03-06T00:00:00"/>
        <d v="2022-12-23T00:00:00"/>
        <d v="2023-10-27T00:00:00"/>
        <d v="2022-12-21T00:00:00"/>
        <d v="2023-06-25T00:00:00"/>
        <d v="2023-01-06T00:00:00"/>
        <d v="2022-11-30T00:00:00"/>
        <d v="2022-12-06T00:00:00"/>
        <d v="2022-12-22T00:00:00"/>
        <d v="2023-09-25T00:00:00"/>
        <d v="2023-11-13T00:00:00"/>
        <d v="2023-11-27T00:00:00"/>
        <d v="2022-12-29T00:00:00"/>
        <d v="2023-05-30T00:00:00"/>
        <d v="2023-06-02T00:00:00"/>
        <d v="2022-11-25T00:00:00"/>
        <d v="2022-11-29T00:00:00"/>
        <d v="2023-08-07T00:00:00"/>
        <d v="2023-08-29T00:00:00"/>
        <d v="2023-04-21T00:00:00"/>
        <d v="2023-11-28T00:00:00"/>
        <d v="2022-11-23T00:00:00"/>
        <d v="2023-12-19T00:00:00"/>
        <d v="2023-03-21T00:00:00"/>
        <d v="2022-12-02T00:00:00"/>
        <d v="2023-02-17T00:00:00"/>
        <d v="2023-11-24T00:00:00"/>
        <d v="2023-02-28T00:00:00"/>
        <d v="2022-07-25T00:00:00"/>
        <d v="2023-03-27T00:00:00"/>
        <d v="2022-07-27T00:00:00"/>
        <d v="2022-08-19T00:00:00"/>
        <d v="2023-06-07T00:00:00"/>
        <d v="2023-02-07T00:00:00"/>
        <d v="2022-12-12T00:00:00"/>
        <d v="2023-03-30T00:00:00"/>
        <d v="2023-07-25T00:00:00"/>
        <d v="2023-12-01T00:00:00"/>
        <d v="2023-12-15T00:00:00"/>
        <d v="2023-11-01T00:00:00"/>
        <d v="2023-06-19T00:00:00"/>
        <d v="2023-11-02T00:00:00"/>
      </sharedItems>
    </cacheField>
    <cacheField name="截至日期" numFmtId="14">
      <sharedItems containsSemiMixedTypes="0" containsNonDate="0" containsDate="1" containsString="0" minDate="2022-09-10T00:00:00" maxDate="2023-12-31T00:00:00" count="35">
        <d v="2023-05-31T00:00:00"/>
        <d v="2023-09-20T00:00:00"/>
        <d v="2023-09-30T00:00:00"/>
        <d v="2023-12-31T00:00:00"/>
        <d v="2023-09-18T00:00:00"/>
        <d v="2023-12-07T00:00:00"/>
        <d v="2023-10-20T00:00:00"/>
        <d v="2023-10-27T00:00:00"/>
        <d v="2023-12-27T00:00:00"/>
        <d v="2023-11-27T00:00:00"/>
        <d v="2022-09-10T00:00:00"/>
        <d v="2023-04-09T00:00:00"/>
        <d v="2023-04-23T00:00:00"/>
        <d v="2023-04-29T00:00:00"/>
        <d v="2023-12-19T00:00:00"/>
        <d v="2023-10-24T00:00:00"/>
        <d v="2023-12-06T00:00:00"/>
        <d v="2023-11-23T00:00:00"/>
        <d v="2023-03-06T00:00:00"/>
        <d v="2023-11-28T00:00:00"/>
        <d v="2023-12-25T00:00:00"/>
        <d v="2023-07-20T00:00:00"/>
        <d v="2023-11-09T00:00:00"/>
        <d v="2023-12-28T00:00:00"/>
        <d v="2023-10-26T00:00:00"/>
        <d v="2023-12-13T00:00:00"/>
        <d v="2023-11-24T00:00:00"/>
        <d v="2023-11-16T00:00:00"/>
        <d v="2023-07-25T00:00:00"/>
        <d v="2023-10-19T00:00:00"/>
        <d v="2023-07-26T00:00:00"/>
        <d v="2023-08-18T00:00:00"/>
        <d v="2023-12-08T00:00:00"/>
        <d v="2023-11-30T00:00:00"/>
        <d v="2023-09-21T00:00:00"/>
      </sharedItems>
    </cacheField>
    <cacheField name="支付利息天数" numFmtId="0">
      <sharedItems containsSemiMixedTypes="0" containsString="0" containsNumber="1" containsInteger="1" minValue="0" maxValue="483" count="65">
        <n v="215"/>
        <n v="365"/>
        <n v="327"/>
        <n v="205"/>
        <n v="209"/>
        <n v="181"/>
        <n v="206"/>
        <n v="340"/>
        <n v="364"/>
        <n v="41"/>
        <n v="258"/>
        <n v="361"/>
        <n v="483"/>
        <n v="117"/>
        <n v="191"/>
        <n v="142"/>
        <n v="267"/>
        <n v="192"/>
        <n v="167"/>
        <n v="177"/>
        <n v="180"/>
        <n v="217"/>
        <n v="115"/>
        <n v="363"/>
        <n v="255"/>
        <n v="356"/>
        <n v="313"/>
        <n v="232"/>
        <n v="348"/>
        <n v="86"/>
        <n v="395"/>
        <n v="477"/>
        <n v="471"/>
        <n v="455"/>
        <n v="87"/>
        <n v="129"/>
        <n v="204"/>
        <n v="101"/>
        <n v="176"/>
        <n v="166"/>
        <n v="144"/>
        <n v="90"/>
        <n v="114"/>
        <n v="351"/>
        <n v="12"/>
        <n v="360"/>
        <n v="305"/>
        <n v="349"/>
        <n v="357"/>
        <n v="329"/>
        <n v="58"/>
        <n v="326"/>
        <n v="449"/>
        <n v="353"/>
        <n v="136"/>
        <n v="118"/>
        <n v="394"/>
        <n v="347"/>
        <n v="297"/>
        <n v="20"/>
        <n v="6"/>
        <n v="337"/>
        <n v="81"/>
        <n v="195"/>
        <n v="59"/>
      </sharedItems>
    </cacheField>
    <cacheField name="支付利息金额" numFmtId="43">
      <sharedItems containsSemiMixedTypes="0" containsString="0" containsNumber="1" minValue="0" maxValue="105" count="92">
        <n v="4.72"/>
        <n v="2.36"/>
        <n v="40.549999999999997"/>
        <n v="21.26"/>
        <n v="22.64"/>
        <n v="22.06"/>
        <n v="19.36"/>
        <n v="24.5"/>
        <n v="16.78"/>
        <n v="18.079999999999998"/>
        <n v="2.58"/>
        <n v="28.64"/>
        <n v="21.44"/>
        <n v="55.62"/>
        <n v="42.45"/>
        <n v="11.77"/>
        <n v="17.55"/>
        <n v="19.100000000000001"/>
        <n v="6.4"/>
        <n v="16.79"/>
        <n v="11.87"/>
        <n v="17.600000000000001"/>
        <n v="18.66"/>
        <n v="1.08"/>
        <n v="1.98"/>
        <n v="1.04"/>
        <n v="1.69"/>
        <n v="1.5"/>
        <n v="11.41"/>
        <n v="9.5299999999999994"/>
        <n v="27.19"/>
        <n v="2.56"/>
        <n v="15.82"/>
        <n v="23.44"/>
        <n v="7.43"/>
        <n v="11.22"/>
        <n v="6.55"/>
        <n v="12.2"/>
        <n v="7.88"/>
        <n v="30.32"/>
        <n v="8.07"/>
        <n v="46.18"/>
        <n v="28.86"/>
        <n v="28.5"/>
        <n v="27.55"/>
        <n v="3.26"/>
        <n v="2.4700000000000002"/>
        <n v="3.31"/>
        <n v="20.239999999999998"/>
        <n v="16.89"/>
        <n v="20.22"/>
        <n v="3.33"/>
        <n v="4.0999999999999996"/>
        <n v="5.6"/>
        <n v="23.25"/>
        <n v="20.12"/>
        <n v="54.15"/>
        <n v="8.08"/>
        <n v="7.01"/>
        <n v="7.7"/>
        <n v="17.07"/>
        <n v="7.59"/>
        <n v="11.67"/>
        <n v="25.72"/>
        <n v="18.88"/>
        <n v="21.21"/>
        <n v="105"/>
        <n v="29.64"/>
        <n v="33.92"/>
        <n v="28.25"/>
        <n v="13.03"/>
        <n v="4.3600000000000003"/>
        <n v="74.97"/>
        <n v="35.78"/>
        <n v="48.88"/>
        <n v="35.07"/>
        <n v="85.28"/>
        <n v="21.02"/>
        <n v="41.41"/>
        <n v="40.4"/>
        <n v="18.63"/>
        <n v="7.21"/>
        <n v="40.96"/>
        <n v="39.07"/>
        <n v="77.23"/>
        <n v="37.43"/>
        <n v="29.53"/>
        <n v="21.46"/>
        <n v="0.57999999999999996"/>
        <n v="1.92"/>
        <n v="37.369999999999997"/>
        <n v="5.08"/>
      </sharedItems>
    </cacheField>
    <cacheField name="申报补助金额" numFmtId="0">
      <sharedItems containsSemiMixedTypes="0" containsString="0" containsNumber="1" minValue="0" maxValue="60" count="79">
        <n v="1.41"/>
        <n v="0.7"/>
        <n v="15"/>
        <n v="8.06"/>
        <n v="7.6"/>
        <n v="7.77"/>
        <n v="4.1500000000000004"/>
        <n v="7.68"/>
        <n v="6.36"/>
        <n v="7.35"/>
        <n v="1.47"/>
        <n v="9.86"/>
        <n v="7.49"/>
        <n v="7.42"/>
        <n v="16.41"/>
        <n v="2.99"/>
        <n v="10.74"/>
        <n v="7.03"/>
        <n v="1.22"/>
        <n v="6.17"/>
        <n v="5.0999999999999996"/>
        <n v="7.5"/>
        <n v="7.07"/>
        <n v="0.25"/>
        <n v="0.49"/>
        <n v="0.39"/>
        <n v="0.35"/>
        <n v="6.25"/>
        <n v="3"/>
        <n v="10.210000000000001"/>
        <n v="0.64"/>
        <n v="5.85"/>
        <n v="9.1300000000000008"/>
        <n v="2.9"/>
        <n v="4.51"/>
        <n v="1.51"/>
        <n v="3.95"/>
        <n v="2.67"/>
        <n v="11.69"/>
        <n v="3.84"/>
        <n v="20.66"/>
        <n v="8.14"/>
        <n v="8.0299999999999994"/>
        <n v="7.7"/>
        <n v="1.4"/>
        <n v="0.26"/>
        <n v="0.42"/>
        <n v="8.25"/>
        <n v="0.95"/>
        <n v="1.01"/>
        <n v="7.64"/>
        <n v="30"/>
        <n v="2.5499999999999998"/>
        <n v="3.74"/>
        <n v="1.36"/>
        <n v="9.75"/>
        <n v="7.4"/>
        <n v="2.14"/>
        <n v="60"/>
        <n v="12.82"/>
        <n v="6.51"/>
        <n v="1.52"/>
        <n v="35.31"/>
        <n v="12.57"/>
        <n v="14.99"/>
        <n v="15.16"/>
        <n v="40"/>
        <n v="5.96"/>
        <n v="8.5500000000000007"/>
        <n v="1.56"/>
        <n v="18.98"/>
        <n v="17.920000000000002"/>
        <n v="11.38"/>
        <n v="9.16"/>
        <n v="1.27"/>
        <n v="1.31"/>
        <n v="2.5099999999999998"/>
        <n v="8.01"/>
        <n v="2.42"/>
      </sharedItems>
    </cacheField>
    <cacheField name="支付利息日期" numFmtId="0">
      <sharedItems containsNonDate="0" containsString="0" containsBlank="1" count="1">
        <m/>
      </sharedItems>
    </cacheField>
    <cacheField name="审计核实并计算利息" numFmtId="43">
      <sharedItems containsSemiMixedTypes="0" containsString="0" containsNumber="1" minValue="0" maxValue="105" count="93">
        <n v="4.72"/>
        <n v="2.36"/>
        <n v="39.549999999999997"/>
        <n v="21.26"/>
        <n v="22.75"/>
        <n v="22.06"/>
        <n v="19.36"/>
        <n v="24.59"/>
        <n v="16.78"/>
        <n v="18.079999999999998"/>
        <n v="3.11"/>
        <n v="28.64"/>
        <n v="21.44"/>
        <n v="57.03"/>
        <n v="43.09"/>
        <n v="11.86"/>
        <n v="17.55"/>
        <n v="19.100000000000001"/>
        <n v="6.4"/>
        <n v="16.77"/>
        <n v="11.87"/>
        <n v="18.2"/>
        <n v="18.66"/>
        <n v="1.27"/>
        <n v="1.67"/>
        <n v="0.9"/>
        <n v="0.92"/>
        <n v="11.49"/>
        <n v="9.69"/>
        <n v="27.19"/>
        <n v="2.56"/>
        <n v="15.82"/>
        <n v="23.44"/>
        <n v="7.43"/>
        <n v="11.22"/>
        <n v="6.55"/>
        <n v="12.19"/>
        <n v="7.88"/>
        <n v="31.99"/>
        <n v="8.98"/>
        <n v="46.18"/>
        <n v="29.82"/>
        <n v="29.45"/>
        <n v="28.44"/>
        <n v="3.34"/>
        <n v="2.4700000000000002"/>
        <n v="3.31"/>
        <n v="20.239999999999998"/>
        <n v="16.89"/>
        <n v="20.22"/>
        <n v="3.33"/>
        <n v="4.1399999999999997"/>
        <n v="5.6"/>
        <n v="23.26"/>
        <n v="20.12"/>
        <n v="54.15"/>
        <n v="8.08"/>
        <n v="7.01"/>
        <n v="6.24"/>
        <n v="17.07"/>
        <n v="7.6"/>
        <n v="11.67"/>
        <n v="25.72"/>
        <n v="18.87"/>
        <n v="18.600000000000001"/>
        <n v="105"/>
        <n v="29.65"/>
        <n v="33.92"/>
        <n v="28.25"/>
        <n v="13.05"/>
        <n v="4.3600000000000003"/>
        <n v="74.97"/>
        <n v="36.18"/>
        <n v="49.83"/>
        <n v="35.090000000000003"/>
        <n v="85.31"/>
        <n v="21.02"/>
        <n v="41.42"/>
        <n v="30.52"/>
        <n v="22.16"/>
        <n v="7.21"/>
        <n v="44.36"/>
        <n v="39.07"/>
        <n v="77.23"/>
        <n v="37.43"/>
        <n v="30.09"/>
        <n v="21.59"/>
        <n v="1.92"/>
        <n v="0.57999999999999996"/>
        <n v="37.409999999999997"/>
        <n v="7.87"/>
        <n v="16.79"/>
        <n v="5.08"/>
      </sharedItems>
    </cacheField>
    <cacheField name="贷款利率" numFmtId="0">
      <sharedItems containsSemiMixedTypes="0" containsString="0" containsNumber="1" minValue="0" maxValue="4.25" count="35">
        <n v="3.95E-2"/>
        <n v="3.9E-2"/>
        <n v="0.04"/>
        <n v="3.7999999999999999E-2"/>
        <n v="3.85E-2"/>
        <n v="4.2999999999999997E-2"/>
        <n v="3.6499999999999998E-2"/>
        <n v="4.2500000000000003E-2"/>
        <n v="4.25"/>
        <n v="2.7E-2"/>
        <n v="3.5999999999999997E-2"/>
        <n v="3.0099999999999998E-2"/>
        <n v="3.2000000000000001E-2"/>
        <n v="3.5000000000000003E-2"/>
        <n v="3.6999999999999998E-2"/>
        <n v="3.65"/>
        <n v="3.8100000000000002E-2"/>
        <n v="3.7499999999999999E-2"/>
        <n v="3.3000000000000002E-2"/>
        <n v="3.1E-2"/>
        <n v="4.3499999999999997E-2"/>
        <n v="4.4999999999999998E-2"/>
        <n v="3.4500000000000003E-2"/>
        <n v="3.3500000000000002E-2"/>
        <n v="4.5999999999999999E-2"/>
        <n v="2.5000000000000001E-2"/>
        <n v="0.03"/>
        <n v="2.4E-2"/>
        <n v="2.8500000000000001E-2"/>
        <n v="4.2000000000000003E-2"/>
        <n v="4.1599999999999998E-2"/>
        <n v="4.1000000000000002E-2"/>
        <n v="2.1999999999999999E-2"/>
        <n v="4.0500000000000001E-2"/>
        <n v="3.2500000000000001E-2"/>
      </sharedItems>
    </cacheField>
    <cacheField name="分段计算" numFmtId="0">
      <sharedItems containsNonDate="0" containsString="0" containsBlank="1" count="1">
        <m/>
      </sharedItems>
    </cacheField>
    <cacheField name="是否提前还款" numFmtId="0">
      <sharedItems count="24">
        <s v="否"/>
        <s v="是，2023-9-18提前还款450万元"/>
        <s v="是，2023-10-27，提前还款499万元"/>
        <s v="是，2023-11-23提前还款100万元"/>
        <s v="是，2023-12-27提前还款100万元"/>
        <s v="是，2023-10-24提前还款700万元"/>
        <s v="是，2023-10-24提前还款300万元"/>
        <s v="是，部分还款2023-6-10提前还款25万元，2023-12-10提前还款25万元"/>
        <s v="是，2023-11-29提前还款25万元（平台未显示有还款）"/>
        <s v="是，部分还款2023-12-5提前还款25万元（平台未显示有还款）"/>
        <s v="否 "/>
        <s v="是，2023-12-27提前还款550万元"/>
        <s v="是，2023-12-27提前还款500万元"/>
        <s v="是，2023-3-6提前还款500万元"/>
        <s v="是，2023-12-19提前还款650万元"/>
        <s v="是，2023-12-28提前还款500万元"/>
        <s v="是，2023-10-26提前还款3000万元"/>
        <s v="是，2023-12-13提前还款1000万元"/>
        <s v="是，2023-11-16提前还款1800万元"/>
        <s v="是，部分还款2023-12-27提前还款50万元"/>
        <s v="是，2023-10-19提前还款2000万元"/>
        <s v="是，部分提前还款2023-5-23提前还款100万，2023-11-23提前还款100万"/>
        <s v="是，2023-11-30提前还款1000万元"/>
        <s v="是，2023-09-21提前还款1000万元"/>
      </sharedItems>
    </cacheField>
    <cacheField name="贴息比例" numFmtId="10">
      <sharedItems containsSemiMixedTypes="0" containsString="0" containsNumber="1" minValue="0" maxValue="0.02" count="3">
        <n v="0.01"/>
        <n v="1.4999999999999999E-2"/>
        <n v="0.02"/>
      </sharedItems>
    </cacheField>
    <cacheField name="审计合格金额" numFmtId="43">
      <sharedItems containsSemiMixedTypes="0" containsString="0" containsNumber="1" minValue="0" maxValue="59.34" count="79">
        <n v="1.41"/>
        <n v="0.7"/>
        <n v="15"/>
        <n v="8.06"/>
        <n v="7.6"/>
        <n v="0"/>
        <n v="4.1500000000000004"/>
        <n v="7.68"/>
        <n v="6.3"/>
        <n v="7.35"/>
        <n v="1.47"/>
        <n v="9.7799999999999994"/>
        <n v="7.48"/>
        <n v="7.42"/>
        <n v="10.63"/>
        <n v="7.02"/>
        <n v="1.1399999999999999"/>
        <n v="6.17"/>
        <n v="5.09"/>
        <n v="7.5"/>
        <n v="7.06"/>
        <n v="0.25"/>
        <n v="0.49"/>
        <n v="0.24"/>
        <n v="0.39"/>
        <n v="0.34"/>
        <n v="4.7"/>
        <n v="2.99"/>
        <n v="10.210000000000001"/>
        <n v="0.64"/>
        <n v="5.85"/>
        <n v="4.3099999999999996"/>
        <n v="1.51"/>
        <n v="3.95"/>
        <n v="11.69"/>
        <n v="3.84"/>
        <n v="20.66"/>
        <n v="8.11"/>
        <n v="7.99"/>
        <n v="7.7"/>
        <n v="1.4"/>
        <n v="0.26"/>
        <n v="0.42"/>
        <n v="8.2200000000000006"/>
        <n v="7.47"/>
        <n v="0.94"/>
        <n v="1.01"/>
        <n v="2.09"/>
        <n v="7.64"/>
        <n v="3"/>
        <n v="2.5499999999999998"/>
        <n v="3.73"/>
        <n v="1.36"/>
        <n v="2.89"/>
        <n v="9.5299999999999994"/>
        <n v="7.33"/>
        <n v="2.13"/>
        <n v="59.34"/>
        <n v="11.75"/>
        <n v="14.38"/>
        <n v="14.71"/>
        <n v="6.51"/>
        <n v="1.52"/>
        <n v="35.299999999999997"/>
        <n v="12.57"/>
        <n v="14.99"/>
        <n v="38.79"/>
        <n v="5.75"/>
        <n v="14.98"/>
        <n v="1.56"/>
        <n v="39.67"/>
        <n v="11.38"/>
        <n v="6.57"/>
        <n v="1.27"/>
        <n v="0.69"/>
        <n v="13.89"/>
        <n v="2.5"/>
        <n v="3.9"/>
        <n v="2.42"/>
      </sharedItems>
    </cacheField>
    <cacheField name="审减金额" numFmtId="43">
      <sharedItems containsSemiMixedTypes="0" containsString="0" containsNumber="1" minValue="0" maxValue="30" count="34">
        <n v="0"/>
        <n v="7.77"/>
        <n v="0.06"/>
        <n v="0.08"/>
        <n v="0.01"/>
        <n v="8.99"/>
        <n v="2.99"/>
        <n v="0.11"/>
        <n v="1.55"/>
        <n v="9.1300000000000008"/>
        <n v="2.9"/>
        <n v="0.2"/>
        <n v="2.67"/>
        <n v="0.03"/>
        <n v="0.04"/>
        <n v="5.41"/>
        <n v="30"/>
        <n v="0.22"/>
        <n v="7.0000000000000007E-2"/>
        <n v="0.66"/>
        <n v="1.07"/>
        <n v="0.62"/>
        <n v="0.28999999999999998"/>
        <n v="15.16"/>
        <n v="1.21"/>
        <n v="0.21"/>
        <n v="14.99"/>
        <n v="8.5500000000000007"/>
        <n v="18.98"/>
        <n v="17.920000000000002"/>
        <n v="0.33"/>
        <n v="2.59"/>
        <n v="1.1100000000000001"/>
        <n v="4.1100000000000003"/>
      </sharedItems>
    </cacheField>
    <cacheField name="审减原因" numFmtId="0">
      <sharedItems containsBlank="1" count="11">
        <m/>
        <s v="重复申报，商务局支持外贸中小企业利用金融工具扩大进出口规模项目"/>
        <s v="提前还款"/>
        <s v="发生日期以银行借据发生日期为准"/>
        <s v="保留两位小数，计算尾差"/>
        <s v="重复申报"/>
        <s v="截至日期填列错误"/>
        <s v="本次补贴计算截止日期不超过2023年12月31日"/>
        <s v="此笔借款申报了知识产权质押融资资助项目,正在受理阶段，承诺放弃新易贷补贴"/>
        <s v="贷款业务发生在企业纳入&quot;白名单&quot;之前，重复申报商务局支持外贸中小企业利用金融工具扩大进出口规模项目"/>
        <s v="申报金额填列错误"/>
      </sharedItems>
    </cacheField>
    <cacheField name="备注备注（说明平台上是否能查到，是否属于白名单企业）" numFmtId="0">
      <sharedItems count="7">
        <s v="是"/>
        <s v="是，2023年11月在高新通平台申请490万贷款的利息补贴(2022年7月-2022年12月期间的利息，目前状态为初审中）承诺书"/>
        <s v="是，两笔合计800"/>
        <s v="是，曾用名：成都明夷电子科技有限公司"/>
        <s v="是、台账部分叫成发泰达 备案部分叫晨发(变更名称）、非白名单(曾用名：成都成发泰达航空科技股份有限公司)"/>
        <s v="是、台账部分叫成发泰达 备案部分叫晨发(变更名称）、非白名单(成都成发泰达航空科技股份有限公司)"/>
        <s v="①合同金额1000万，两笔台账各500万、借据号不同，431250100300148622这笔台账的匹配结果确实显示如左。_x000a_②对应备案（1000万）的状态为审核通过。"/>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519.717696759297" createdVersion="6" refreshedVersion="5" minRefreshableVersion="3" recordCount="207" xr:uid="{00000000-000A-0000-FFFF-FFFF02000000}">
  <cacheSource type="worksheet">
    <worksheetSource ref="B1:D208" sheet="Sheet6"/>
  </cacheSource>
  <cacheFields count="3">
    <cacheField name="区（市）县" numFmtId="0">
      <sharedItems count="22">
        <s v="成都高新区"/>
        <s v="成华区"/>
        <s v="崇州市"/>
        <s v="大邑县"/>
        <s v="都江堰市"/>
        <s v="简阳市"/>
        <s v="金牛区"/>
        <s v="金堂县"/>
        <s v="锦江区"/>
        <s v="龙泉驿区"/>
        <s v="彭州市"/>
        <s v="郫都区"/>
        <s v="蒲江县"/>
        <s v="青白江区"/>
        <s v="青羊区"/>
        <s v="邛崃市"/>
        <s v="双流区"/>
        <s v="四川天府新区"/>
        <s v="温江区"/>
        <s v="武侯区"/>
        <s v="新都区"/>
        <s v="新津区"/>
      </sharedItems>
    </cacheField>
    <cacheField name="申报单位" numFmtId="0">
      <sharedItems count="207">
        <s v="成都净蓝科技有限公司"/>
        <s v="成都锐思环保技术股份有限公司"/>
        <s v="四川新荷花中药饮片股份有限公司"/>
        <s v="成都纵横大鹏无人机科技有限公司"/>
        <s v="成都恒成工具股份有限公司"/>
        <s v="成都瀚德科技有限公司"/>
        <s v="四川携光生物技术有限公司"/>
        <s v="成都前锋电子有限责任公司"/>
        <s v="四川赛狄信息技术股份公司"/>
        <s v="四川泰猷科技有限公司"/>
        <s v="成都天奥信息科技有限公司"/>
        <s v="成都国恒空间技术工程股份有限公司"/>
        <s v="四川盛玖源环境工程有限公司"/>
        <s v="成都锐成芯微科技股份有限公司"/>
        <s v="四川赛康智能科技股份有限公司"/>
        <s v="成都硅宝科技股份有限公司"/>
        <s v="成都锐芯盛通电子科技有限公司"/>
        <s v="成都瑞隆祥科技有限公司"/>
        <s v="成都正升能源技术开发有限公司"/>
        <s v="成都恩沐生物科技有限公司"/>
        <s v="成都星联芯通科技有限公司"/>
        <s v="成都云智北斗科技有限公司"/>
        <s v="四川省西点能源有限公司"/>
        <s v="成都思越智能装备股份有限公司"/>
        <s v="成都富元辰科技有限公司"/>
        <s v="成都戎星科技有限公司"/>
        <s v="成都路维光电有限公司"/>
        <s v="成都中科华微电子有限公司"/>
        <s v="四川图林科技有限责任公司"/>
        <s v="成都成电光信科技股份有限公司"/>
        <s v="成都迪真计算机科技有限公司"/>
        <s v="迪威弗智能装备集团有限公司"/>
        <s v="成都华栖云科技有限公司"/>
        <s v="四川安迪科技实业有限公司"/>
        <s v="成都汇辙科技有限公司"/>
        <s v="成都瑞迪威科技有限公司"/>
        <s v="成都星云智联科技有限公司"/>
        <s v="成都明夷电子科技有限公司"/>
        <s v="成都国星宇航科技股份有限公司"/>
        <s v="成都汉度科技有限公司"/>
        <s v="成都宜泊信息科技有限公司"/>
        <s v="四川新科电子技术工程有限责任公司"/>
        <s v="四川金信石信息技术有限公司"/>
        <s v="成都天马微电子有限公司"/>
        <s v="海创药业股份有限公司"/>
        <s v="成都森未科技有限公司"/>
        <s v="成都天奥测控技术有限公司"/>
        <s v="成都普什制药有限公司"/>
        <s v="成都邦普切削刀具股份有限公司"/>
        <s v="成都飞机工业集团电子科技有限公司"/>
        <s v="四川骏逸富顿科技有限公司"/>
        <s v="成都晨发泰达航空科技股份有限公司"/>
        <s v="成都蕊源半导体科技股份有限公司"/>
        <s v="成都开飞高能化学工业有限公司"/>
        <s v="四川省华盾防务科技股份有限公司"/>
        <s v="成都特来电新能源有限公司"/>
        <s v="成都利普芯微电子有限公司"/>
        <s v="成都中航华测科技有限公司"/>
        <s v="成都英黎科技有限公司"/>
        <s v="四川尚锐生物医药有限公司"/>
        <s v="威特龙消防安全集团股份公司"/>
        <s v="四川斯艾普电子科技有限公司"/>
        <s v="成都宏明电子股份有限公司"/>
        <s v="成都卡诺普机器人技术股份有限公司"/>
        <s v="贝肯能源(成都)有限责任公司"/>
        <s v="重庆医药集团四川生物制品有限公司"/>
        <s v="成都三是科技有限公司"/>
        <s v="四川华控图形科技有限公司"/>
        <s v="四川海力智能科技股份有限公司"/>
        <s v="成都康乐汇食品有限公司"/>
        <s v="崇州君健塑胶有限公司"/>
        <s v="成都青洋电子材料有限公司"/>
        <s v="成都朝合普尔航空科技股份有限公司"/>
        <s v="成都望锦汽车部件有限公司"/>
        <s v="成都桐林铸造实业有限公司"/>
        <s v="四川成都同道堂制药有限责任公司"/>
        <s v="四川宏康源药业有限公司"/>
        <s v="四川蜀腾母线有限公司"/>
        <s v="成都上境酒店管理有限公司"/>
        <s v="四川申力门业有限责任公司"/>
        <s v="成都汇道堂中药饮片有限责任公司"/>
        <s v="四川港通医疗设备集团股份有限公司"/>
        <s v="四川腾盾科技有限公司"/>
        <s v="四川成都探矿机械有限责任公司"/>
        <s v="四川合纵药易购医药股份有限公司"/>
        <s v="四川拓及轨道交通设备股份有限公司"/>
        <s v="成都凌亚科技有限公司"/>
        <s v="众杰信息产业集团有限公司"/>
        <s v="四川商通实业有限公司"/>
        <s v="四川美峰环境治理有限责任公司"/>
        <s v="成都巴莫科技有限责任公司"/>
        <s v="成都卡乐福高分子材料股份有限公司"/>
        <s v="四川沱江源药业有限公司"/>
        <s v="四川长虹润天能源科技有限公司"/>
        <s v="成都国信中联投资管理有限公司"/>
        <s v="四川图特新能源发展有限公司"/>
        <s v="成都赛肯思创享生活景观设计股份有限公司"/>
        <s v="成都锦江晓康之家综合门诊部有限公司"/>
        <s v="成都英德生物医药设备有限公司"/>
        <s v="成都旭光科技股份有限公司"/>
        <s v="成都世润汽车部件有限公司"/>
        <s v="成都华铭电子科技有限公司"/>
        <s v="成都英诺思科技有限公司"/>
        <s v="成都美奢锐新材料有限公司"/>
        <s v="成都赛林斯科技实业有限公司"/>
        <s v="四川千页科技股份有限公司"/>
        <s v="海瑞克(成都)隧道设备有限公司"/>
        <s v="成都宏科电子科技有限公司"/>
        <s v="成都宏科微波通信有限公司"/>
        <s v="成都创科升电子科技有限责任公司"/>
        <s v="成都尚明工业有限公司"/>
        <s v="成都市祺隆中药饮片有限公司"/>
        <s v="成都宇亨智能科技有限公司"/>
        <s v="彭州太萌新材料有限公司"/>
        <s v="丹氏生物科技成都有限公司"/>
        <s v="四川诺乐电动科技有限公司"/>
        <s v="成都深冷科技有限公司"/>
        <s v="成都通用电缆厂"/>
        <s v="四川川纳电气有限公司"/>
        <s v="成都迈特航空制造有限公司"/>
        <s v="成都市鸿侠科技有限责任公司"/>
        <s v="成都成维精密机械制造有限公司"/>
        <s v="成都川行科技塑业有限公司"/>
        <s v="四川艾贝斯科技发展有限公司"/>
        <s v="成都南头科技有限公司"/>
        <s v="成都鑫三合机电新技术开发有限公司"/>
        <s v="成都川一机械有限公司"/>
        <s v="四川格林流体控制设备有限公司"/>
        <s v="四川饭扫光食品集团股份有限公司"/>
        <s v="成都中工电气工程有限公司"/>
        <s v="四川通力达医疗水处理设备有限公司"/>
        <s v="成都顺康三森电子有限责任公司"/>
        <s v="成都华高生物制品有限公司"/>
        <s v="成都市凌翔植化科技开发有限公司"/>
        <s v="四川岷江物流有限公司"/>
        <s v="知行良知实业股份有限公司"/>
        <s v="成都惠锋新材料科技股份有限公司"/>
        <s v="成都万江港利科技股份有限公司"/>
        <s v="四川省三物科技有限公司"/>
        <s v="四川文投爱科行科技有限公司"/>
        <s v="成都宏明双新科技股份有限公司"/>
        <s v="成都东方仪器有限公司"/>
        <s v="成都通威三新药业有限公司"/>
        <s v="成都春源食品有限公司"/>
        <s v="成都新太丰农业开发有限公司"/>
        <s v="成都南环药业包装(集团)有限公司"/>
        <s v="四川兰晨管业有限公司"/>
        <s v="四川达卡电气有限公司"/>
        <s v="成都大鹏纵横智能设备有限公司"/>
        <s v="中电九天智能科技有限公司"/>
        <s v="成都联帮医疗科技股份有限公司"/>
        <s v="四川昱峰医疗器械有限公司"/>
        <s v="成都海科工控设备有限公司"/>
        <s v="成都虹宁显示玻璃有限公司"/>
        <s v="成都纽瑞特医疗科技股份有限公司"/>
        <s v="成都通威动物营养科技有限公司"/>
        <s v="成都千嘉科技股份有限公司"/>
        <s v="成都通宇航空设备制造有限公司"/>
        <s v="希望森兰科技股份有限公司"/>
        <s v="成都迅翼卫通科技有限公司"/>
        <s v="成都晨光博达新材料股份有限公司"/>
        <s v="成都国铁电气设备有限公司"/>
        <s v="四川川能智网实业有限公司"/>
        <s v="成都万江智控科技有限公司"/>
        <s v="四川龙蛋数字农业供应链有限公司"/>
        <s v="成都中科信息技术有限公司"/>
        <s v="成都海科机械设备制造有限公司"/>
        <s v="成都飞亚航空设备应用研究所有限公司"/>
        <s v="成都新恒创药业有限公司"/>
        <s v="成都润联科技开发有限公司"/>
        <s v="四川海思科制药有限公司"/>
        <s v="四川空分集团工程有限公司"/>
        <s v="广电计量检测(成都)有限公司"/>
        <s v="成都格理特电子技术有限公司"/>
        <s v="四川远丰森泰能源集团有限公司"/>
        <s v="四川三元环境治理股份有限公司"/>
        <s v="成都点阵科技有限公司"/>
        <s v="四川汇投环保工程有限责任公司"/>
        <s v="成都傅立叶电子科技有限公司"/>
        <s v="成都能通科技股份有限公司"/>
        <s v="成都正汇信息技术有限公司"/>
        <s v="成都成电医星数字健康软件有限公司"/>
        <s v="成都华信佳亿科技有限公司"/>
        <s v="四川禾一天然药业有限公司"/>
        <s v="成都特隆美储能技术有限公司"/>
        <s v="四川省泓圃药业有限公司"/>
        <s v="四川兴睿龙实业有限公司"/>
        <s v="成都市新美加机械设备制造有限公司"/>
        <s v="成都市明峰光学仪器有限公司"/>
        <s v="四川能投新都分布式能源有限公司"/>
        <s v="成都市西点缘电力投资管理有限公司"/>
        <s v="成都裕鸢航空智能制造股份有限公司"/>
        <s v="成都工具研究所有限公司"/>
        <s v="成都俊马密封科技股份有限公司"/>
        <s v="微网优联科技(成都)有限公司"/>
        <s v="成都航新航空装备科技有限公司"/>
        <s v="四川骏腾宇航科技有限公司"/>
        <s v="四川科华展示设备有限公司"/>
        <s v="成都新成量工具有限公司"/>
        <s v="成都伦慈仪表有限公司"/>
        <s v="成都优利酷恩新材料有限公司"/>
        <s v="成都市川泰玻璃有限责任公司"/>
        <s v="四川中德铝业有限公司"/>
        <s v="成都科宏达科技有限公司"/>
        <s v="成都市花中花农业发展有限责任公司"/>
        <s v="成都友一包装材料有限公司"/>
        <s v="民航成都电子技术有限责任公司"/>
      </sharedItems>
    </cacheField>
    <cacheField name="　申报条数" numFmtId="0">
      <sharedItems containsString="0" containsBlank="1" containsNumber="1" containsInteger="1" minValue="0" maxValue="7" count="7">
        <n v="2"/>
        <n v="1"/>
        <n v="4"/>
        <n v="5"/>
        <n v="7"/>
        <n v="3"/>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484.4930409722" createdVersion="6" refreshedVersion="6" minRefreshableVersion="3" recordCount="0" xr:uid="{00000000-000A-0000-FFFF-FFFF03000000}">
  <cacheSource type="worksheet">
    <worksheetSource ref="A4:AB29" sheet="成华区审计明细汇总" r:id="rId2"/>
  </cacheSource>
  <cacheFields count="28">
    <cacheField name="序号" numFmtId="0">
      <sharedItems containsSemiMixedTypes="0" containsNonDate="0" containsString="0"/>
    </cacheField>
    <cacheField name="企业名称" numFmtId="0">
      <sharedItems containsBlank="1" count="9">
        <s v="四川斯艾普电子科技有限公司"/>
        <s v="成都宏明电子股份有限公司"/>
        <s v="成都卡诺普机器人技术股份有限公司"/>
        <s v="贝肯能源(成都)有限责任公司"/>
        <s v="重庆医药集团四川生物制品有限公司"/>
        <s v="成都三是科技有限公司"/>
        <s v="四川华控图形科技有限公司"/>
        <s v="四川海力智能科技股份有限公司"/>
        <m/>
      </sharedItems>
    </cacheField>
    <cacheField name="注册机关" numFmtId="0">
      <sharedItems containsSemiMixedTypes="0" containsNonDate="0" containsString="0"/>
    </cacheField>
    <cacheField name="统一社会信用代码" numFmtId="0">
      <sharedItems containsSemiMixedTypes="0" containsNonDate="0" containsString="0"/>
    </cacheField>
    <cacheField name="企业性质" numFmtId="0">
      <sharedItems containsSemiMixedTypes="0" containsNonDate="0" containsString="0"/>
    </cacheField>
    <cacheField name="税收解缴机关" numFmtId="0">
      <sharedItems containsSemiMixedTypes="0" containsNonDate="0" containsString="0"/>
    </cacheField>
    <cacheField name="收款账号（注明开户行）" numFmtId="0">
      <sharedItems containsSemiMixedTypes="0" containsNonDate="0" containsString="0"/>
    </cacheField>
    <cacheField name="贷款产品" numFmtId="0">
      <sharedItems containsSemiMixedTypes="0" containsNonDate="0" containsString="0"/>
    </cacheField>
    <cacheField name="贷款银行（明确到支行）" numFmtId="0">
      <sharedItems containsSemiMixedTypes="0" containsNonDate="0" containsString="0"/>
    </cacheField>
    <cacheField name="贷款期限" numFmtId="0">
      <sharedItems containsSemiMixedTypes="0" containsNonDate="0" containsString="0"/>
    </cacheField>
    <cacheField name="贷款金额" numFmtId="0">
      <sharedItems containsSemiMixedTypes="0" containsNonDate="0" containsString="0"/>
    </cacheField>
    <cacheField name="借款合同号" numFmtId="49">
      <sharedItems containsSemiMixedTypes="0" containsNonDate="0" containsString="0"/>
    </cacheField>
    <cacheField name="借据单号" numFmtId="49">
      <sharedItems containsSemiMixedTypes="0" containsNonDate="0" containsString="0"/>
    </cacheField>
    <cacheField name="起始日期" numFmtId="14">
      <sharedItems containsSemiMixedTypes="0" containsNonDate="0" containsString="0"/>
    </cacheField>
    <cacheField name="截至日期" numFmtId="14">
      <sharedItems containsSemiMixedTypes="0" containsNonDate="0" containsString="0"/>
    </cacheField>
    <cacheField name="支付利息天数" numFmtId="0">
      <sharedItems containsSemiMixedTypes="0" containsNonDate="0" containsString="0"/>
    </cacheField>
    <cacheField name="支付利息金额" numFmtId="43">
      <sharedItems containsSemiMixedTypes="0" containsNonDate="0" containsString="0"/>
    </cacheField>
    <cacheField name="申报补助金额" numFmtId="43">
      <sharedItems containsSemiMixedTypes="0" containsNonDate="0" containsString="0"/>
    </cacheField>
    <cacheField name="支付利息日期" numFmtId="0">
      <sharedItems containsSemiMixedTypes="0" containsNonDate="0" containsString="0"/>
    </cacheField>
    <cacheField name="审计核实并计算利息" numFmtId="43">
      <sharedItems containsSemiMixedTypes="0" containsNonDate="0" containsString="0"/>
    </cacheField>
    <cacheField name="贷款利率" numFmtId="10">
      <sharedItems containsSemiMixedTypes="0" containsNonDate="0" containsString="0"/>
    </cacheField>
    <cacheField name="分段计算" numFmtId="0">
      <sharedItems containsSemiMixedTypes="0" containsNonDate="0" containsString="0"/>
    </cacheField>
    <cacheField name="是否提前还款" numFmtId="0">
      <sharedItems containsSemiMixedTypes="0" containsNonDate="0" containsString="0"/>
    </cacheField>
    <cacheField name="贴息比例" numFmtId="10">
      <sharedItems containsSemiMixedTypes="0" containsNonDate="0" containsString="0"/>
    </cacheField>
    <cacheField name="审计合格金额" numFmtId="43">
      <sharedItems containsSemiMixedTypes="0" containsNonDate="0" containsString="0"/>
    </cacheField>
    <cacheField name="审减金额" numFmtId="43">
      <sharedItems containsSemiMixedTypes="0" containsNonDate="0" containsString="0"/>
    </cacheField>
    <cacheField name="审减原因" numFmtId="0">
      <sharedItems containsSemiMixedTypes="0" containsNonDate="0" containsString="0"/>
    </cacheField>
    <cacheField name="备注备注（说明平台上是否能查到，是否属于白名单企业）" numFmtId="0">
      <sharedItems containsSemiMixedTypes="0" containsNonDate="0" containsString="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41619" refreshedDate="45520.439943286998" createdVersion="8" refreshedVersion="8" minRefreshableVersion="3" recordCount="308" xr:uid="{00000000-000A-0000-FFFF-FFFF04000000}">
  <cacheSource type="worksheet">
    <worksheetSource name="#NAME?"/>
  </cacheSource>
  <cacheFields count="29">
    <cacheField name="序号" numFmtId="0">
      <sharedItems containsSemiMixedTypes="0" containsNonDate="0" containsString="0"/>
    </cacheField>
    <cacheField name="区县" numFmtId="0">
      <sharedItems containsSemiMixedTypes="0" containsNonDate="0" containsString="0"/>
    </cacheField>
    <cacheField name="企业名称" numFmtId="0">
      <sharedItems count="208">
        <s v="成都净蓝科技有限公司"/>
        <s v="成都锐思环保技术股份有限公司"/>
        <s v="四川新荷花中药饮片股份有限公司"/>
        <s v="成都纵横大鹏无人机科技有限公司"/>
        <s v="成都恒成工具股份有限公司"/>
        <s v="成都瀚德科技有限公司"/>
        <s v="四川携光生物技术有限公司"/>
        <s v="成都前锋电子有限责任公司"/>
        <s v="四川赛狄信息技术股份公司"/>
        <s v="四川泰猷科技有限公司"/>
        <s v="成都天奥信息科技有限公司"/>
        <s v="成都国恒空间技术工程股份有限公司"/>
        <s v="四川盛玖源环境工程有限公司"/>
        <s v="成都锐成芯微科技股份有限公司"/>
        <s v="四川赛康智能科技股份有限公司"/>
        <s v="成都硅宝科技股份有限公司"/>
        <s v="成都锐芯盛通电子科技有限公司"/>
        <s v="成都瑞隆祥科技有限公司"/>
        <s v="成都正升能源技术开发有限公司"/>
        <s v="成都恩沐生物科技有限公司"/>
        <s v="成都星联芯通科技有限公司"/>
        <s v="成都云智北斗科技有限公司"/>
        <s v="四川省西点能源有限公司"/>
        <s v="成都思越智能装备股份有限公司"/>
        <s v="成都富元辰科技有限公司"/>
        <s v="成都戎星科技有限公司"/>
        <s v="成都路维光电有限公司"/>
        <s v="成都中科华微电子有限公司"/>
        <s v="四川图林科技有限责任公司"/>
        <s v="成都成电光信科技股份有限公司"/>
        <s v="成都迪真计算机科技有限公司"/>
        <s v="迪威弗智能装备集团有限公司"/>
        <s v="成都华栖云科技有限公司"/>
        <s v="四川安迪科技实业有限公司"/>
        <s v="成都汇辙科技有限公司"/>
        <s v="成都瑞迪威科技有限公司"/>
        <s v="成都星云智联科技有限公司"/>
        <s v="成都明夷电子科技股份有限公司"/>
        <s v="成都国星宇航科技股份有限公司"/>
        <s v="成都汉度科技有限公司"/>
        <s v="成都宜泊信息科技有限公司"/>
        <s v="四川新科电子技术工程有限责任公司"/>
        <s v="四川金信石信息技术有限公司"/>
        <s v="成都天马微电子有限公司"/>
        <s v="海创药业股份有限公司"/>
        <s v="成都森未科技有限公司"/>
        <s v="成都天奥测控技术有限公司"/>
        <s v="成都普什制药有限公司"/>
        <s v="成都邦普切削刀具股份有限公司"/>
        <s v="成都飞机工业集团电子科技有限公司"/>
        <s v="四川骏逸富顿科技有限公司"/>
        <s v="成都晨发泰达航空科技股份有限公司"/>
        <s v="成都蕊源半导体科技股份有限公司"/>
        <s v="成都开飞高能化学工业有限公司"/>
        <s v="四川省华盾防务科技股份有限公司"/>
        <s v="成都特来电新能源有限公司"/>
        <s v="成都利普芯微电子有限公司"/>
        <s v="成都中航华测科技有限公司"/>
        <s v="成都英黎科技有限公司"/>
        <s v="四川尚锐生物医药有限公司"/>
        <s v="威特龙消防安全集团股份公司"/>
        <s v="四川斯艾普电子科技有限公司"/>
        <s v="成都宏明电子股份有限公司"/>
        <s v="成都卡诺普机器人技术股份有限公司"/>
        <s v="贝肯能源(成都)有限责任公司"/>
        <s v="重庆医药集团四川生物制品有限公司"/>
        <s v="成都三是科技有限公司"/>
        <s v="四川华控图形科技有限公司"/>
        <s v="四川海力智能科技股份有限公司"/>
        <s v="成都康乐汇食品有限公司"/>
        <s v="崇州君健塑胶有限公司"/>
        <s v="成都青洋电子材料有限公司"/>
        <s v="成都朝合普尔航空科技股份有限公司"/>
        <s v="成都望锦汽车部件有限公司"/>
        <s v="成都桐林铸造实业有限公司"/>
        <s v="四川成都同道堂制药有限责任公司"/>
        <s v="四川宏康源药业有限公司"/>
        <s v="四川蜀腾母线有限公司"/>
        <s v="成都上境酒店管理有限公司"/>
        <s v="四川申力门业有限责任公司"/>
        <s v="成都汇道堂中药饮片有限责任公司"/>
        <s v="四川港通医疗设备集团股份有限公司"/>
        <s v="四川腾盾科技有限公司"/>
        <s v="四川成都探矿机械有限责任公司"/>
        <s v="四川合纵药易购医药股份有限公司"/>
        <s v="四川拓及轨道交通设备股份有限公司"/>
        <s v="成都凌亚科技有限公司"/>
        <s v="众杰信息产业集团有限公司"/>
        <s v="四川商通实业有限公司"/>
        <s v="四川美峰环境治理有限责任公司"/>
        <s v="成都巴莫科技有限责任公司"/>
        <s v="成都卡乐福高分子材料股份有限公司"/>
        <s v="四川沱江源药业有限公司"/>
        <s v="四川长虹润天能源科技有限公司"/>
        <s v="成都国信中联投资管理有限公司"/>
        <s v="四川图特新能源发展有限公司"/>
        <s v="成都赛肯思创享生活景观设计股份有限公司"/>
        <s v="成都锦江晓康之家综合门诊部有限公司"/>
        <s v="成都英德生物医药设备有限公司"/>
        <s v="成都旭光科技股份有限公司"/>
        <s v="成都世润汽车部件有限公司"/>
        <s v="成都华铭电子科技有限公司"/>
        <s v="成都英诺思科技有限公司"/>
        <s v="成都美奢锐新材料有限公司"/>
        <s v="成都赛林斯科技实业有限公司"/>
        <s v="四川千页科技股份有限公司"/>
        <s v="海瑞克(成都)隧道设备有限公司"/>
        <s v="成都宏科电子科技有限公司"/>
        <s v="成都宏科微波通信有限公司"/>
        <s v="成都创科升电子科技有限责任公司"/>
        <s v="成都尚明工业有限公司"/>
        <s v="成都市祺隆中药饮片有限公司"/>
        <s v="成都宇亨智能科技有限公司"/>
        <s v="彭州太萌新材料有限公司"/>
        <s v="丹氏生物科技成都有限公司"/>
        <s v="四川诺乐电动科技有限公司"/>
        <s v="成都深冷科技有限公司"/>
        <s v="成都通用电缆厂"/>
        <s v="四川川纳电气有限公司"/>
        <s v="成都迈特航空制造有限公司"/>
        <s v="成都市鸿侠科技有限责任公司"/>
        <s v="成都成维精密机械制造有限公司"/>
        <s v="成都川行科技塑业有限公司"/>
        <s v="四川艾贝斯科技发展有限公司"/>
        <s v="成都南头科技有限公司"/>
        <s v="成都鑫三合机电新技术开发有限公司"/>
        <s v="成都川一机械有限公司"/>
        <s v="四川格林流体控制设备有限公司"/>
        <s v="四川饭扫光食品集团股份有限公司"/>
        <s v="成都中工电气工程有限公司"/>
        <s v="四川通力达医疗水处理设备有限公司"/>
        <s v="成都顺康三森电子有限责任公司"/>
        <s v="成都华高生物制品有限公司"/>
        <s v="成都市凌翔植化科技开发有限公司"/>
        <s v="四川岷江物流有限公司"/>
        <s v="知行良知实业股份有限公司"/>
        <s v="成都惠锋新材料科技股份有限公司"/>
        <s v="成都万江港利科技股份有限公司"/>
        <s v="四川省三物科技有限公司"/>
        <s v="四川文投爱科行科技有限公司"/>
        <s v="成都宏明双新科技股份有限公司"/>
        <s v="成都东方仪器有限公司"/>
        <s v="成都通威三新药业有限公司"/>
        <s v="成都春源食品有限公司"/>
        <s v="成都新太丰农业开发有限公司"/>
        <s v="成都南环药业包装(集团)有限公司"/>
        <s v="四川兰晨管业有限公司"/>
        <s v="四川达卡电气有限公司"/>
        <s v="成都大鹏纵横智能设备有限公司"/>
        <s v="中电九天智能科技有限公司"/>
        <s v="成都联帮医疗科技股份有限公司"/>
        <s v="四川昱峰医疗器械有限公司"/>
        <s v="成都海科工控设备有限公司"/>
        <s v="成都虹宁显示玻璃有限公司"/>
        <s v="成都纽瑞特医疗科技股份有限公司"/>
        <s v="成都通威动物营养科技有限公司"/>
        <s v="成都千嘉科技股份有限公司"/>
        <s v="成都通宇航空设备制造有限公司"/>
        <s v="希望森兰科技股份有限公司"/>
        <s v="成都迅翼卫通科技有限公司"/>
        <s v="成都晨光博达新材料股份有限公司"/>
        <s v="成都国铁电气设备有限公司"/>
        <s v="四川川能智网实业有限公司"/>
        <s v="成都万江智控科技有限公司"/>
        <s v="四川龙蛋数字农业供应链有限公司"/>
        <s v="成都中科信息技术有限公司"/>
        <s v="成都海科机械设备制造有限公司"/>
        <s v="成都飞亚航空设备应用研究所有限公司"/>
        <s v="成都新恒创药业有限公司"/>
        <s v="成都润联科技开发有限公司"/>
        <s v="四川海思科制药有限公司"/>
        <s v="四川空分集团工程有限公司"/>
        <s v="广电计量检测(成都)有限公司"/>
        <s v="成都格理特电子技术有限公司"/>
        <s v="四川远丰森泰能源集团有限公司"/>
        <s v="四川三元环境治理股份有限公司"/>
        <s v="成都点阵科技有限公司"/>
        <s v="四川汇投环保工程有限责任公司"/>
        <s v="成都傅立叶电子科技有限公司"/>
        <s v="成都能通科技股份有限公司"/>
        <s v="成都正汇信息技术有限公司"/>
        <s v="成都成电医星数字健康软件有限公司"/>
        <s v="成都华信佳亿科技有限公司"/>
        <s v="四川禾一天然药业有限公司"/>
        <s v="成都特隆美储能技术有限公司"/>
        <s v="四川省泓圃药业有限公司"/>
        <s v="四川兴睿龙实业有限公司"/>
        <s v="成都市新美加机械设备制造有限公司"/>
        <s v="成都市明峰光学仪器有限公司"/>
        <s v="四川能投新都分布式能源有限公司"/>
        <s v="成都市西点缘电力投资管理有限公司"/>
        <s v="成都裕鸢航空智能制造股份有限公司"/>
        <s v="成都工具研究所有限公司"/>
        <s v="成都俊马密封科技股份有限公司"/>
        <s v="微网优联科技(成都)有限公司"/>
        <s v="成都航新航空装备科技有限公司"/>
        <s v="四川骏腾宇航科技有限公司"/>
        <s v="四川科华展示设备有限公司"/>
        <s v="成都新成量工具有限公司"/>
        <s v="成都伦慈仪表有限公司"/>
        <s v="成都优利酷恩新材料有限公司"/>
        <s v="成都市川泰玻璃有限责任公司"/>
        <s v="四川中德铝业有限公司"/>
        <s v="成都科宏达科技有限公司"/>
        <s v="成都市花中花农业发展有限责任公司"/>
        <s v="成都友一包装材料有限公司"/>
        <s v="民航成都电子技术有限责任公司"/>
        <s v="成都明夷电子科技有限公司" u="1"/>
      </sharedItems>
    </cacheField>
    <cacheField name="注册机关" numFmtId="0">
      <sharedItems containsSemiMixedTypes="0" containsNonDate="0" containsString="0"/>
    </cacheField>
    <cacheField name="统一社会信用代码" numFmtId="0">
      <sharedItems containsSemiMixedTypes="0" containsNonDate="0" containsString="0"/>
    </cacheField>
    <cacheField name="企业性质" numFmtId="0">
      <sharedItems containsSemiMixedTypes="0" containsNonDate="0" containsString="0"/>
    </cacheField>
    <cacheField name="税收解缴机关" numFmtId="0">
      <sharedItems containsSemiMixedTypes="0" containsNonDate="0" containsString="0"/>
    </cacheField>
    <cacheField name="收款账号（注明开户行）" numFmtId="0">
      <sharedItems containsSemiMixedTypes="0" containsNonDate="0" containsString="0"/>
    </cacheField>
    <cacheField name="贷款产品" numFmtId="0">
      <sharedItems containsSemiMixedTypes="0" containsNonDate="0" containsString="0"/>
    </cacheField>
    <cacheField name="贷款银行（明确到支行）" numFmtId="0">
      <sharedItems containsSemiMixedTypes="0" containsNonDate="0" containsString="0"/>
    </cacheField>
    <cacheField name="贷款期限" numFmtId="0">
      <sharedItems containsSemiMixedTypes="0" containsNonDate="0" containsString="0"/>
    </cacheField>
    <cacheField name="贷款金额" numFmtId="0">
      <sharedItems containsSemiMixedTypes="0" containsNonDate="0" containsString="0"/>
    </cacheField>
    <cacheField name="借款合同号" numFmtId="49">
      <sharedItems containsSemiMixedTypes="0" containsNonDate="0" containsString="0"/>
    </cacheField>
    <cacheField name="借据单号" numFmtId="49">
      <sharedItems containsSemiMixedTypes="0" containsNonDate="0" containsString="0"/>
    </cacheField>
    <cacheField name="起始日期" numFmtId="14">
      <sharedItems containsSemiMixedTypes="0" containsNonDate="0" containsString="0"/>
    </cacheField>
    <cacheField name="截至日期" numFmtId="14">
      <sharedItems containsSemiMixedTypes="0" containsNonDate="0" containsString="0"/>
    </cacheField>
    <cacheField name="支付利息天数" numFmtId="0">
      <sharedItems containsSemiMixedTypes="0" containsNonDate="0" containsString="0"/>
    </cacheField>
    <cacheField name="支付利息金额" numFmtId="43">
      <sharedItems containsSemiMixedTypes="0" containsNonDate="0" containsString="0"/>
    </cacheField>
    <cacheField name="申报补助金额" numFmtId="0">
      <sharedItems containsSemiMixedTypes="0" containsNonDate="0" containsString="0"/>
    </cacheField>
    <cacheField name="支付利息日期" numFmtId="0">
      <sharedItems containsSemiMixedTypes="0" containsNonDate="0" containsString="0"/>
    </cacheField>
    <cacheField name="审计核实并计算利息" numFmtId="43">
      <sharedItems containsSemiMixedTypes="0" containsNonDate="0" containsString="0"/>
    </cacheField>
    <cacheField name="贷款利率" numFmtId="0">
      <sharedItems containsSemiMixedTypes="0" containsNonDate="0" containsString="0"/>
    </cacheField>
    <cacheField name="分段计算" numFmtId="0">
      <sharedItems containsSemiMixedTypes="0" containsNonDate="0" containsString="0"/>
    </cacheField>
    <cacheField name="是否提前还款" numFmtId="0">
      <sharedItems containsSemiMixedTypes="0" containsNonDate="0" containsString="0"/>
    </cacheField>
    <cacheField name="贴息比例" numFmtId="10">
      <sharedItems containsSemiMixedTypes="0" containsNonDate="0" containsString="0"/>
    </cacheField>
    <cacheField name="审计合格金额" numFmtId="43">
      <sharedItems containsSemiMixedTypes="0" containsNonDate="0" containsString="0"/>
    </cacheField>
    <cacheField name="审减金额" numFmtId="43">
      <sharedItems containsSemiMixedTypes="0" containsNonDate="0" containsString="0"/>
    </cacheField>
    <cacheField name="审减原因" numFmtId="0">
      <sharedItems containsBlank="1" count="19">
        <m/>
        <s v="重复申报，已申报成都市商务局支持外贸中小企业利用金融工具扩大进出口规模项目补贴"/>
        <s v="提前还款"/>
        <s v="发生日期以银行借据发生日期为准"/>
        <s v="保留两位小数，计算尾差"/>
        <s v="重复申报，已申报成都市市场监督局质押融资贷款利息补贴"/>
        <s v="截至日期填列错误"/>
        <s v="本次补贴计算截止日期不超过2023年12月31日"/>
        <s v="贷款业务发生在企业纳入&quot;白名单&quot;之前，且重复申报商务局支持外贸中小企业利用金融工具扩大进出口规模项目补贴"/>
        <s v="申报金额填列错误"/>
        <s v="平台无该数据，不属于新易贷，且重复申报商务局支持外贸中小企业利用金融工具扩大进出口规模项目补贴"/>
        <s v="企业申报补贴产品及补贴标准错误"/>
        <s v="平台无该数据，不属于新易贷"/>
        <s v="重复申报，商务局支持外贸中小企业利用金融工具扩大进出口规模项目" u="1"/>
        <s v="重复申报" u="1"/>
        <s v="此笔借款申报了知识产权质押融资资助项目,正在受理阶段，承诺放弃新易贷补贴" u="1"/>
        <s v="贷款业务发生在企业纳入&quot;白名单&quot;之前，重复申报商务局支持外贸中小企业利用金融工具扩大进出口规模项目" u="1"/>
        <s v="重复申报商务局支持外贸中小企业利用金融工具扩大进出口规模项目" u="1"/>
        <s v="不属于新易贷" u="1"/>
      </sharedItems>
    </cacheField>
    <cacheField name="备注（说明平台上是否能查到，是否属于白名单企业）" numFmtId="0">
      <sharedItems containsSemiMixedTypes="0" containsNonDate="0" containsString="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1">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2.xml><?xml version="1.0" encoding="utf-8"?>
<pivotCacheRecords xmlns="http://schemas.openxmlformats.org/spreadsheetml/2006/main" xmlns:r="http://schemas.openxmlformats.org/officeDocument/2006/relationships" count="96">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207">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r>
    <x v="4294967295"/>
    <x v="4294967295"/>
    <x v="4294967295"/>
  </r>
</pivotCacheRecords>
</file>

<file path=xl/pivotCache/pivotCacheRecords4.xml><?xml version="1.0" encoding="utf-8"?>
<pivotCacheRecords xmlns="http://schemas.openxmlformats.org/spreadsheetml/2006/main" xmlns:r="http://schemas.openxmlformats.org/officeDocument/2006/relationships" count="0"/>
</file>

<file path=xl/pivotCache/pivotCacheRecords5.xml><?xml version="1.0" encoding="utf-8"?>
<pivotCacheRecords xmlns="http://schemas.openxmlformats.org/spreadsheetml/2006/main" xmlns:r="http://schemas.openxmlformats.org/officeDocument/2006/relationships" count="308">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r>
    <m/>
    <m/>
    <x v="4294967295"/>
    <m/>
    <m/>
    <m/>
    <m/>
    <m/>
    <m/>
    <m/>
    <m/>
    <m/>
    <m/>
    <m/>
    <m/>
    <m/>
    <m/>
    <m/>
    <m/>
    <m/>
    <m/>
    <m/>
    <m/>
    <m/>
    <m/>
    <m/>
    <m/>
    <x v="429496729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D600-000000000000}" name="数据透视表2" cacheId="1" applyNumberFormats="0" applyBorderFormats="0" applyFontFormats="0" applyPatternFormats="0" applyAlignmentFormats="0" applyWidthHeightFormats="1" dataCaption="值" updatedVersion="5" minRefreshableVersion="3" useAutoFormatting="1" createdVersion="6" indent="0" outline="1" outlineData="1" multipleFieldFilters="0">
  <location ref="A3:D66" firstHeaderRow="0" firstDataRow="1" firstDataCol="1"/>
  <pivotFields count="28">
    <pivotField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axis="axisRow" dataField="1" showAll="0">
      <items count="65">
        <item x="48"/>
        <item x="51"/>
        <item x="29"/>
        <item x="30"/>
        <item x="19"/>
        <item x="49"/>
        <item x="24"/>
        <item x="15"/>
        <item x="11"/>
        <item x="38"/>
        <item x="39"/>
        <item x="5"/>
        <item x="4"/>
        <item x="32"/>
        <item x="34"/>
        <item x="0"/>
        <item x="53"/>
        <item x="56"/>
        <item x="26"/>
        <item m="1" x="62"/>
        <item x="47"/>
        <item x="7"/>
        <item x="25"/>
        <item x="52"/>
        <item x="13"/>
        <item x="1"/>
        <item x="16"/>
        <item x="35"/>
        <item x="17"/>
        <item x="45"/>
        <item x="23"/>
        <item x="55"/>
        <item x="46"/>
        <item x="10"/>
        <item x="43"/>
        <item x="20"/>
        <item x="36"/>
        <item x="40"/>
        <item x="58"/>
        <item x="21"/>
        <item x="18"/>
        <item x="57"/>
        <item x="27"/>
        <item x="3"/>
        <item x="31"/>
        <item x="44"/>
        <item x="33"/>
        <item x="42"/>
        <item x="50"/>
        <item x="8"/>
        <item x="14"/>
        <item x="59"/>
        <item x="54"/>
        <item x="22"/>
        <item x="12"/>
        <item x="9"/>
        <item x="28"/>
        <item x="6"/>
        <item x="2"/>
        <item x="41"/>
        <item x="60"/>
        <item m="1" x="63"/>
        <item x="37"/>
        <item x="61"/>
        <item t="default"/>
      </items>
    </pivotField>
    <pivotField showAll="0"/>
    <pivotField showAll="0"/>
    <pivotField showAll="0"/>
    <pivotField showAll="0"/>
    <pivotField showAll="0"/>
    <pivotField showAll="0"/>
    <pivotField showAll="0"/>
    <pivotField showAll="0"/>
    <pivotField dataField="1" showAll="0">
      <items count="28">
        <item x="12"/>
        <item x="14"/>
        <item x="13"/>
        <item x="1"/>
        <item x="21"/>
        <item x="0"/>
        <item x="8"/>
        <item x="17"/>
        <item x="20"/>
        <item x="16"/>
        <item x="4"/>
        <item x="5"/>
        <item x="7"/>
        <item x="11"/>
        <item x="10"/>
        <item x="3"/>
        <item x="23"/>
        <item x="6"/>
        <item x="15"/>
        <item x="18"/>
        <item x="26"/>
        <item x="2"/>
        <item x="19"/>
        <item x="22"/>
        <item x="25"/>
        <item x="9"/>
        <item x="24"/>
        <item t="default"/>
      </items>
    </pivotField>
    <pivotField showAll="0"/>
    <pivotField showAll="0"/>
    <pivotField showAll="0"/>
    <pivotField showAll="0"/>
    <pivotField showAll="0"/>
    <pivotField showAll="0"/>
    <pivotField dataField="1" showAll="0">
      <items count="80">
        <item x="23"/>
        <item x="45"/>
        <item x="26"/>
        <item x="25"/>
        <item x="46"/>
        <item x="24"/>
        <item x="30"/>
        <item x="1"/>
        <item x="48"/>
        <item x="49"/>
        <item x="18"/>
        <item x="74"/>
        <item x="75"/>
        <item x="54"/>
        <item x="44"/>
        <item x="0"/>
        <item x="10"/>
        <item x="35"/>
        <item x="61"/>
        <item x="69"/>
        <item x="57"/>
        <item x="78"/>
        <item x="76"/>
        <item x="52"/>
        <item x="37"/>
        <item x="33"/>
        <item x="15"/>
        <item x="28"/>
        <item x="53"/>
        <item x="39"/>
        <item x="36"/>
        <item x="6"/>
        <item x="34"/>
        <item x="20"/>
        <item x="31"/>
        <item x="67"/>
        <item x="19"/>
        <item x="27"/>
        <item x="8"/>
        <item x="60"/>
        <item x="17"/>
        <item x="22"/>
        <item x="9"/>
        <item x="56"/>
        <item x="13"/>
        <item x="12"/>
        <item x="21"/>
        <item x="4"/>
        <item x="50"/>
        <item x="7"/>
        <item x="43"/>
        <item x="5"/>
        <item x="77"/>
        <item x="42"/>
        <item x="3"/>
        <item x="41"/>
        <item x="47"/>
        <item x="68"/>
        <item x="32"/>
        <item x="73"/>
        <item x="55"/>
        <item x="11"/>
        <item x="29"/>
        <item x="16"/>
        <item x="72"/>
        <item x="38"/>
        <item x="63"/>
        <item x="59"/>
        <item x="64"/>
        <item x="2"/>
        <item x="65"/>
        <item x="14"/>
        <item x="71"/>
        <item x="70"/>
        <item x="40"/>
        <item x="51"/>
        <item x="62"/>
        <item x="66"/>
        <item x="58"/>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63">
    <i>
      <x/>
    </i>
    <i>
      <x v="1"/>
    </i>
    <i>
      <x v="2"/>
    </i>
    <i>
      <x v="3"/>
    </i>
    <i>
      <x v="4"/>
    </i>
    <i>
      <x v="5"/>
    </i>
    <i>
      <x v="6"/>
    </i>
    <i>
      <x v="7"/>
    </i>
    <i>
      <x v="8"/>
    </i>
    <i>
      <x v="9"/>
    </i>
    <i>
      <x v="10"/>
    </i>
    <i>
      <x v="11"/>
    </i>
    <i>
      <x v="12"/>
    </i>
    <i>
      <x v="13"/>
    </i>
    <i>
      <x v="14"/>
    </i>
    <i>
      <x v="15"/>
    </i>
    <i>
      <x v="16"/>
    </i>
    <i>
      <x v="17"/>
    </i>
    <i>
      <x v="18"/>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2"/>
    </i>
    <i>
      <x v="63"/>
    </i>
    <i t="grand">
      <x/>
    </i>
  </rowItems>
  <colFields count="1">
    <field x="-2"/>
  </colFields>
  <colItems count="3">
    <i>
      <x/>
    </i>
    <i i="1">
      <x v="1"/>
    </i>
    <i i="2">
      <x v="2"/>
    </i>
  </colItems>
  <dataFields count="3">
    <dataField name="计数项:企业名称" fld="1" subtotal="count" baseField="0" baseItem="0"/>
    <dataField name="求和项:申报补助金额" fld="17" baseField="1" baseItem="0"/>
    <dataField name="求和项:贷款金额"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D600-000001000000}" name="数据透视表1" cacheId="4" applyNumberFormats="0" applyBorderFormats="0" applyFontFormats="0" applyPatternFormats="0" applyAlignmentFormats="0" applyWidthHeightFormats="1" dataCaption="值" updatedVersion="8" minRefreshableVersion="3" useAutoFormatting="1" createdVersion="8" indent="0" outline="1" outlineData="1" multipleFieldFilters="0">
  <location ref="A3:B211" firstHeaderRow="1" firstDataRow="1" firstDataCol="1"/>
  <pivotFields count="29">
    <pivotField showAll="0"/>
    <pivotField showAll="0"/>
    <pivotField axis="axisRow" showAll="0">
      <items count="209">
        <item x="64"/>
        <item x="90"/>
        <item x="48"/>
        <item x="72"/>
        <item x="51"/>
        <item x="160"/>
        <item x="29"/>
        <item x="181"/>
        <item x="121"/>
        <item x="122"/>
        <item x="126"/>
        <item x="109"/>
        <item x="143"/>
        <item x="148"/>
        <item x="30"/>
        <item x="176"/>
        <item x="141"/>
        <item x="19"/>
        <item x="49"/>
        <item x="167"/>
        <item x="178"/>
        <item x="24"/>
        <item x="173"/>
        <item x="192"/>
        <item x="15"/>
        <item x="11"/>
        <item x="161"/>
        <item x="94"/>
        <item x="38"/>
        <item x="152"/>
        <item x="166"/>
        <item x="39"/>
        <item x="5"/>
        <item x="195"/>
        <item x="4"/>
        <item x="107"/>
        <item x="108"/>
        <item x="62"/>
        <item x="140"/>
        <item x="153"/>
        <item x="132"/>
        <item x="101"/>
        <item x="32"/>
        <item x="182"/>
        <item x="80"/>
        <item x="34"/>
        <item x="136"/>
        <item x="97"/>
        <item x="0"/>
        <item x="193"/>
        <item x="91"/>
        <item x="63"/>
        <item x="53"/>
        <item x="69"/>
        <item x="203"/>
        <item x="56"/>
        <item x="150"/>
        <item x="86"/>
        <item x="26"/>
        <item x="199"/>
        <item x="119"/>
        <item x="103"/>
        <item m="1" x="207"/>
        <item x="145"/>
        <item x="124"/>
        <item x="179"/>
        <item x="154"/>
        <item x="47"/>
        <item x="156"/>
        <item x="7"/>
        <item x="71"/>
        <item x="25"/>
        <item x="52"/>
        <item x="13"/>
        <item x="1"/>
        <item x="16"/>
        <item x="35"/>
        <item x="17"/>
        <item x="169"/>
        <item x="96"/>
        <item x="104"/>
        <item x="66"/>
        <item x="45"/>
        <item x="78"/>
        <item x="110"/>
        <item x="116"/>
        <item x="100"/>
        <item x="201"/>
        <item x="120"/>
        <item x="204"/>
        <item x="133"/>
        <item x="188"/>
        <item x="111"/>
        <item x="190"/>
        <item x="187"/>
        <item x="131"/>
        <item x="23"/>
        <item x="55"/>
        <item x="184"/>
        <item x="46"/>
        <item x="10"/>
        <item x="43"/>
        <item x="155"/>
        <item x="142"/>
        <item x="117"/>
        <item x="157"/>
        <item x="74"/>
        <item x="137"/>
        <item x="163"/>
        <item x="73"/>
        <item x="198"/>
        <item x="168"/>
        <item x="144"/>
        <item x="125"/>
        <item x="20"/>
        <item x="36"/>
        <item x="99"/>
        <item x="159"/>
        <item x="40"/>
        <item x="98"/>
        <item x="58"/>
        <item x="102"/>
        <item x="200"/>
        <item x="205"/>
        <item x="112"/>
        <item x="191"/>
        <item x="21"/>
        <item x="180"/>
        <item x="18"/>
        <item x="129"/>
        <item x="57"/>
        <item x="27"/>
        <item x="165"/>
        <item x="3"/>
        <item x="70"/>
        <item x="114"/>
        <item x="31"/>
        <item x="172"/>
        <item x="44"/>
        <item x="106"/>
        <item x="206"/>
        <item x="113"/>
        <item x="123"/>
        <item x="33"/>
        <item x="83"/>
        <item x="75"/>
        <item x="118"/>
        <item x="162"/>
        <item x="147"/>
        <item x="128"/>
        <item x="81"/>
        <item x="127"/>
        <item x="68"/>
        <item x="170"/>
        <item x="183"/>
        <item x="84"/>
        <item x="76"/>
        <item x="67"/>
        <item x="177"/>
        <item x="42"/>
        <item x="196"/>
        <item x="50"/>
        <item x="197"/>
        <item x="171"/>
        <item x="146"/>
        <item x="164"/>
        <item x="89"/>
        <item x="134"/>
        <item x="189"/>
        <item x="115"/>
        <item x="105"/>
        <item x="8"/>
        <item x="14"/>
        <item x="175"/>
        <item x="88"/>
        <item x="59"/>
        <item x="79"/>
        <item x="185"/>
        <item x="54"/>
        <item x="138"/>
        <item x="22"/>
        <item x="12"/>
        <item x="77"/>
        <item x="61"/>
        <item x="85"/>
        <item x="9"/>
        <item x="82"/>
        <item x="130"/>
        <item x="28"/>
        <item x="95"/>
        <item x="92"/>
        <item x="139"/>
        <item x="6"/>
        <item x="2"/>
        <item x="41"/>
        <item x="186"/>
        <item x="151"/>
        <item x="174"/>
        <item x="93"/>
        <item x="202"/>
        <item x="60"/>
        <item x="194"/>
        <item x="158"/>
        <item x="135"/>
        <item x="149"/>
        <item x="87"/>
        <item x="65"/>
        <item x="37"/>
        <item t="default"/>
      </items>
    </pivotField>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numFmtId="43" showAll="0"/>
    <pivotField showAll="0"/>
    <pivotField showAll="0"/>
    <pivotField numFmtId="43" showAll="0"/>
    <pivotField showAll="0"/>
    <pivotField showAll="0"/>
    <pivotField showAll="0"/>
    <pivotField numFmtId="10" showAll="0"/>
    <pivotField dataField="1" numFmtId="43" showAll="0"/>
    <pivotField numFmtId="43" showAll="0"/>
    <pivotField showAll="0"/>
    <pivotField showAll="0"/>
  </pivotFields>
  <rowFields count="1">
    <field x="2"/>
  </rowFields>
  <rowItems count="2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t="grand">
      <x/>
    </i>
  </rowItems>
  <colItems count="1">
    <i/>
  </colItems>
  <dataFields count="1">
    <dataField name="求和项:审计合格金额" fld="2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D600-000002000000}" name="数据透视表4" cacheId="0" applyNumberFormats="0" applyBorderFormats="0" applyFontFormats="0" applyPatternFormats="0" applyAlignmentFormats="0" applyWidthHeightFormats="1" dataCaption="值" updatedVersion="5" minRefreshableVersion="3" useAutoFormatting="1" createdVersion="6" indent="0" outline="1" outlineData="1" multipleFieldFilters="0">
  <location ref="A3:D66" firstHeaderRow="0" firstDataRow="1" firstDataCol="1"/>
  <pivotFields count="18">
    <pivotField showAll="0">
      <items count="96">
        <item x="0"/>
        <item x="1"/>
        <item x="2"/>
        <item x="3"/>
        <item x="4"/>
        <item x="5"/>
        <item x="6"/>
        <item x="7"/>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8"/>
        <item t="default"/>
      </items>
    </pivotField>
    <pivotField axis="axisRow" dataField="1" showAll="0">
      <items count="63">
        <item x="12"/>
        <item x="9"/>
        <item x="32"/>
        <item x="31"/>
        <item x="42"/>
        <item x="11"/>
        <item x="37"/>
        <item x="46"/>
        <item x="50"/>
        <item x="22"/>
        <item x="21"/>
        <item x="56"/>
        <item x="57"/>
        <item x="29"/>
        <item x="27"/>
        <item x="61"/>
        <item x="6"/>
        <item x="3"/>
        <item x="35"/>
        <item x="23"/>
        <item x="13"/>
        <item x="54"/>
        <item x="36"/>
        <item x="8"/>
        <item x="48"/>
        <item x="60"/>
        <item x="45"/>
        <item x="26"/>
        <item x="44"/>
        <item x="15"/>
        <item x="38"/>
        <item x="4"/>
        <item x="14"/>
        <item x="51"/>
        <item x="17"/>
        <item x="41"/>
        <item x="25"/>
        <item x="20"/>
        <item x="1"/>
        <item x="40"/>
        <item x="43"/>
        <item x="2"/>
        <item x="34"/>
        <item x="58"/>
        <item x="30"/>
        <item x="16"/>
        <item x="28"/>
        <item x="18"/>
        <item x="10"/>
        <item x="53"/>
        <item x="47"/>
        <item x="0"/>
        <item x="5"/>
        <item x="39"/>
        <item x="49"/>
        <item x="52"/>
        <item x="33"/>
        <item x="55"/>
        <item x="59"/>
        <item x="19"/>
        <item x="24"/>
        <item x="7"/>
        <item t="default"/>
      </items>
    </pivotField>
    <pivotField showAll="0"/>
    <pivotField showAll="0"/>
    <pivotField showAll="0"/>
    <pivotField showAll="0"/>
    <pivotField showAll="0"/>
    <pivotField showAll="0"/>
    <pivotField showAll="0"/>
    <pivotField showAll="0"/>
    <pivotField dataField="1" showAll="0">
      <items count="29">
        <item x="21"/>
        <item x="23"/>
        <item x="22"/>
        <item x="19"/>
        <item x="10"/>
        <item x="11"/>
        <item x="7"/>
        <item x="13"/>
        <item x="14"/>
        <item x="18"/>
        <item x="24"/>
        <item x="26"/>
        <item x="25"/>
        <item x="4"/>
        <item x="12"/>
        <item x="27"/>
        <item x="8"/>
        <item x="17"/>
        <item x="20"/>
        <item x="16"/>
        <item x="3"/>
        <item x="0"/>
        <item x="15"/>
        <item x="9"/>
        <item x="5"/>
        <item x="1"/>
        <item x="6"/>
        <item x="2"/>
        <item t="default"/>
      </items>
    </pivotField>
    <pivotField showAll="0"/>
    <pivotField showAll="0"/>
    <pivotField showAll="0"/>
    <pivotField dataField="1" showAll="0">
      <items count="79">
        <item x="54"/>
        <item x="35"/>
        <item x="57"/>
        <item x="56"/>
        <item x="36"/>
        <item x="55"/>
        <item x="51"/>
        <item x="77"/>
        <item x="32"/>
        <item x="33"/>
        <item x="61"/>
        <item x="1"/>
        <item x="2"/>
        <item x="24"/>
        <item x="37"/>
        <item x="76"/>
        <item x="69"/>
        <item x="47"/>
        <item x="17"/>
        <item x="10"/>
        <item x="20"/>
        <item x="29"/>
        <item x="28"/>
        <item x="44"/>
        <item x="49"/>
        <item x="64"/>
        <item x="22"/>
        <item x="26"/>
        <item x="42"/>
        <item x="45"/>
        <item x="74"/>
        <item x="46"/>
        <item x="59"/>
        <item x="50"/>
        <item x="12"/>
        <item x="60"/>
        <item x="53"/>
        <item x="70"/>
        <item x="16"/>
        <item x="62"/>
        <item x="58"/>
        <item x="71"/>
        <item x="21"/>
        <item x="66"/>
        <item x="65"/>
        <item x="31"/>
        <item x="25"/>
        <item x="30"/>
        <item x="72"/>
        <item x="41"/>
        <item x="73"/>
        <item x="40"/>
        <item x="75"/>
        <item x="39"/>
        <item x="34"/>
        <item x="9"/>
        <item x="48"/>
        <item x="3"/>
        <item x="23"/>
        <item x="68"/>
        <item x="52"/>
        <item x="63"/>
        <item x="4"/>
        <item x="43"/>
        <item x="15"/>
        <item x="18"/>
        <item x="11"/>
        <item x="0"/>
        <item x="13"/>
        <item x="67"/>
        <item x="8"/>
        <item x="6"/>
        <item x="38"/>
        <item x="27"/>
        <item x="14"/>
        <item x="5"/>
        <item x="19"/>
        <item x="7"/>
        <item t="default"/>
      </items>
    </pivotField>
    <pivotField showAll="0"/>
    <pivotField showAll="0"/>
    <pivotField showAll="0"/>
  </pivotFields>
  <rowFields count="1">
    <field x="1"/>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t="grand">
      <x/>
    </i>
  </rowItems>
  <colFields count="1">
    <field x="-2"/>
  </colFields>
  <colItems count="3">
    <i>
      <x/>
    </i>
    <i i="1">
      <x v="1"/>
    </i>
    <i i="2">
      <x v="2"/>
    </i>
  </colItems>
  <dataFields count="3">
    <dataField name="计数项:企业名称" fld="1" subtotal="count" baseField="0" baseItem="0"/>
    <dataField name="求和项:申报补助金额" fld="14" baseField="1" baseItem="0"/>
    <dataField name="求和项:贷款金额"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D600-000003000000}" name="数据透视表2" cacheId="2" applyNumberFormats="0" applyBorderFormats="0" applyFontFormats="0" applyPatternFormats="0" applyAlignmentFormats="0" applyWidthHeightFormats="1" dataCaption="值" updatedVersion="5" minRefreshableVersion="3" useAutoFormatting="1" createdVersion="6" indent="0" outline="1" outlineData="1" multipleFieldFilters="0">
  <location ref="J1:K24" firstHeaderRow="1" firstDataRow="1" firstDataCol="1"/>
  <pivotFields count="3">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dataField="1" showAll="0">
      <items count="8">
        <item x="1"/>
        <item x="0"/>
        <item x="5"/>
        <item x="2"/>
        <item x="3"/>
        <item x="4"/>
        <item x="6"/>
        <item t="default"/>
      </items>
    </pivotField>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求和项:　申报条数"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D600-000004000000}" name="数据透视表2" cacheId="3" applyNumberFormats="0" applyBorderFormats="0" applyFontFormats="0" applyPatternFormats="0" applyAlignmentFormats="0" applyWidthHeightFormats="1" dataCaption="值" updatedVersion="6" minRefreshableVersion="3" useAutoFormatting="1" createdVersion="6" indent="0" outline="1" outlineData="1" multipleFieldFilters="0">
  <location ref="A3:D13" firstHeaderRow="0" firstDataRow="1" firstDataCol="1"/>
  <pivotFields count="28">
    <pivotField showAll="0"/>
    <pivotField axis="axisRow" showAll="0">
      <items count="10">
        <item x="3"/>
        <item x="1"/>
        <item x="2"/>
        <item x="5"/>
        <item x="7"/>
        <item x="6"/>
        <item x="0"/>
        <item x="4"/>
        <item x="8"/>
        <item t="default"/>
      </items>
    </pivotField>
    <pivotField showAll="0"/>
    <pivotField showAll="0"/>
    <pivotField showAll="0"/>
    <pivotField showAll="0"/>
    <pivotField showAll="0"/>
    <pivotField showAll="0"/>
    <pivotField showAll="0"/>
    <pivotField showAll="0"/>
    <pivotField dataField="1" showAll="0">
      <items count="1">
        <item t="default"/>
      </items>
    </pivotField>
    <pivotField showAll="0"/>
    <pivotField showAll="0"/>
    <pivotField showAll="0"/>
    <pivotField showAll="0"/>
    <pivotField showAll="0"/>
    <pivotField dataField="1" showAll="0">
      <items count="1">
        <item t="default"/>
      </items>
    </pivotField>
    <pivotField dataField="1" showAll="0">
      <items count="1">
        <item t="default"/>
      </items>
    </pivotField>
    <pivotField showAll="0"/>
    <pivotField showAll="0"/>
    <pivotField showAll="0"/>
    <pivotField showAll="0"/>
    <pivotField showAll="0"/>
    <pivotField showAll="0"/>
    <pivotField showAll="0"/>
    <pivotField showAll="0"/>
    <pivotField showAll="0"/>
    <pivotField showAll="0"/>
  </pivotFields>
  <rowFields count="1">
    <field x="1"/>
  </rowFields>
  <rowItems count="10">
    <i>
      <x/>
    </i>
    <i>
      <x v="1"/>
    </i>
    <i>
      <x v="2"/>
    </i>
    <i>
      <x v="3"/>
    </i>
    <i>
      <x v="4"/>
    </i>
    <i>
      <x v="5"/>
    </i>
    <i>
      <x v="6"/>
    </i>
    <i>
      <x v="7"/>
    </i>
    <i>
      <x v="8"/>
    </i>
    <i t="grand">
      <x/>
    </i>
  </rowItems>
  <colFields count="1">
    <field x="-2"/>
  </colFields>
  <colItems count="3">
    <i>
      <x/>
    </i>
    <i i="1">
      <x v="1"/>
    </i>
    <i i="2">
      <x v="2"/>
    </i>
  </colItems>
  <dataFields count="3">
    <dataField name="求和项:支付利息金额" fld="16" baseField="1" baseItem="0"/>
    <dataField name="求和项:贷款金额" fld="10" baseField="1" baseItem="0"/>
    <dataField name="求和项:申报补助金额" fld="17" baseField="1" baseItem="0"/>
  </dataFields>
  <formats count="1">
    <format dxfId="4">
      <pivotArea collapsedLevelsAreSubtotals="1" fieldPosition="0">
        <references count="1">
          <reference field="1"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00.xml.rels><?xml version="1.0" encoding="UTF-8" standalone="yes"?>
<Relationships xmlns="http://schemas.openxmlformats.org/package/2006/relationships"><Relationship Id="rId2" Type="http://schemas.openxmlformats.org/officeDocument/2006/relationships/comments" Target="../comments94.xml"/><Relationship Id="rId1" Type="http://schemas.openxmlformats.org/officeDocument/2006/relationships/vmlDrawing" Target="../drawings/vmlDrawing94.vml"/></Relationships>
</file>

<file path=xl/worksheets/_rels/sheet101.xml.rels><?xml version="1.0" encoding="UTF-8" standalone="yes"?>
<Relationships xmlns="http://schemas.openxmlformats.org/package/2006/relationships"><Relationship Id="rId2" Type="http://schemas.openxmlformats.org/officeDocument/2006/relationships/comments" Target="../comments95.xml"/><Relationship Id="rId1" Type="http://schemas.openxmlformats.org/officeDocument/2006/relationships/vmlDrawing" Target="../drawings/vmlDrawing95.vml"/></Relationships>
</file>

<file path=xl/worksheets/_rels/sheet102.xml.rels><?xml version="1.0" encoding="UTF-8" standalone="yes"?>
<Relationships xmlns="http://schemas.openxmlformats.org/package/2006/relationships"><Relationship Id="rId2" Type="http://schemas.openxmlformats.org/officeDocument/2006/relationships/comments" Target="../comments96.xml"/><Relationship Id="rId1" Type="http://schemas.openxmlformats.org/officeDocument/2006/relationships/vmlDrawing" Target="../drawings/vmlDrawing96.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97.xml"/><Relationship Id="rId1" Type="http://schemas.openxmlformats.org/officeDocument/2006/relationships/vmlDrawing" Target="../drawings/vmlDrawing97.vml"/></Relationships>
</file>

<file path=xl/worksheets/_rels/sheet104.xml.rels><?xml version="1.0" encoding="UTF-8" standalone="yes"?>
<Relationships xmlns="http://schemas.openxmlformats.org/package/2006/relationships"><Relationship Id="rId2" Type="http://schemas.openxmlformats.org/officeDocument/2006/relationships/comments" Target="../comments98.xml"/><Relationship Id="rId1" Type="http://schemas.openxmlformats.org/officeDocument/2006/relationships/vmlDrawing" Target="../drawings/vmlDrawing98.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99.xml"/><Relationship Id="rId1" Type="http://schemas.openxmlformats.org/officeDocument/2006/relationships/vmlDrawing" Target="../drawings/vmlDrawing99.vml"/></Relationships>
</file>

<file path=xl/worksheets/_rels/sheet106.xml.rels><?xml version="1.0" encoding="UTF-8" standalone="yes"?>
<Relationships xmlns="http://schemas.openxmlformats.org/package/2006/relationships"><Relationship Id="rId2" Type="http://schemas.openxmlformats.org/officeDocument/2006/relationships/comments" Target="../comments100.xml"/><Relationship Id="rId1" Type="http://schemas.openxmlformats.org/officeDocument/2006/relationships/vmlDrawing" Target="../drawings/vmlDrawing100.vml"/></Relationships>
</file>

<file path=xl/worksheets/_rels/sheet107.xml.rels><?xml version="1.0" encoding="UTF-8" standalone="yes"?>
<Relationships xmlns="http://schemas.openxmlformats.org/package/2006/relationships"><Relationship Id="rId2" Type="http://schemas.openxmlformats.org/officeDocument/2006/relationships/comments" Target="../comments101.xml"/><Relationship Id="rId1" Type="http://schemas.openxmlformats.org/officeDocument/2006/relationships/vmlDrawing" Target="../drawings/vmlDrawing101.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102.xml"/><Relationship Id="rId1" Type="http://schemas.openxmlformats.org/officeDocument/2006/relationships/vmlDrawing" Target="../drawings/vmlDrawing102.vml"/></Relationships>
</file>

<file path=xl/worksheets/_rels/sheet109.xml.rels><?xml version="1.0" encoding="UTF-8" standalone="yes"?>
<Relationships xmlns="http://schemas.openxmlformats.org/package/2006/relationships"><Relationship Id="rId2" Type="http://schemas.openxmlformats.org/officeDocument/2006/relationships/comments" Target="../comments103.xml"/><Relationship Id="rId1" Type="http://schemas.openxmlformats.org/officeDocument/2006/relationships/vmlDrawing" Target="../drawings/vmlDrawing10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10.xml.rels><?xml version="1.0" encoding="UTF-8" standalone="yes"?>
<Relationships xmlns="http://schemas.openxmlformats.org/package/2006/relationships"><Relationship Id="rId2" Type="http://schemas.openxmlformats.org/officeDocument/2006/relationships/comments" Target="../comments104.xml"/><Relationship Id="rId1" Type="http://schemas.openxmlformats.org/officeDocument/2006/relationships/vmlDrawing" Target="../drawings/vmlDrawing104.vml"/></Relationships>
</file>

<file path=xl/worksheets/_rels/sheet111.xml.rels><?xml version="1.0" encoding="UTF-8" standalone="yes"?>
<Relationships xmlns="http://schemas.openxmlformats.org/package/2006/relationships"><Relationship Id="rId2" Type="http://schemas.openxmlformats.org/officeDocument/2006/relationships/comments" Target="../comments105.xml"/><Relationship Id="rId1" Type="http://schemas.openxmlformats.org/officeDocument/2006/relationships/vmlDrawing" Target="../drawings/vmlDrawing105.vml"/></Relationships>
</file>

<file path=xl/worksheets/_rels/sheet112.xml.rels><?xml version="1.0" encoding="UTF-8" standalone="yes"?>
<Relationships xmlns="http://schemas.openxmlformats.org/package/2006/relationships"><Relationship Id="rId2" Type="http://schemas.openxmlformats.org/officeDocument/2006/relationships/comments" Target="../comments106.xml"/><Relationship Id="rId1" Type="http://schemas.openxmlformats.org/officeDocument/2006/relationships/vmlDrawing" Target="../drawings/vmlDrawing106.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107.xml"/><Relationship Id="rId1" Type="http://schemas.openxmlformats.org/officeDocument/2006/relationships/vmlDrawing" Target="../drawings/vmlDrawing107.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108.xml"/><Relationship Id="rId1" Type="http://schemas.openxmlformats.org/officeDocument/2006/relationships/vmlDrawing" Target="../drawings/vmlDrawing108.vml"/></Relationships>
</file>

<file path=xl/worksheets/_rels/sheet115.xml.rels><?xml version="1.0" encoding="UTF-8" standalone="yes"?>
<Relationships xmlns="http://schemas.openxmlformats.org/package/2006/relationships"><Relationship Id="rId2" Type="http://schemas.openxmlformats.org/officeDocument/2006/relationships/comments" Target="../comments109.xml"/><Relationship Id="rId1" Type="http://schemas.openxmlformats.org/officeDocument/2006/relationships/vmlDrawing" Target="../drawings/vmlDrawing109.vml"/></Relationships>
</file>

<file path=xl/worksheets/_rels/sheet116.xml.rels><?xml version="1.0" encoding="UTF-8" standalone="yes"?>
<Relationships xmlns="http://schemas.openxmlformats.org/package/2006/relationships"><Relationship Id="rId2" Type="http://schemas.openxmlformats.org/officeDocument/2006/relationships/comments" Target="../comments110.xml"/><Relationship Id="rId1" Type="http://schemas.openxmlformats.org/officeDocument/2006/relationships/vmlDrawing" Target="../drawings/vmlDrawing110.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111.xml"/><Relationship Id="rId1" Type="http://schemas.openxmlformats.org/officeDocument/2006/relationships/vmlDrawing" Target="../drawings/vmlDrawing111.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19.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20.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21.xml.rels><?xml version="1.0" encoding="UTF-8" standalone="yes"?>
<Relationships xmlns="http://schemas.openxmlformats.org/package/2006/relationships"><Relationship Id="rId2" Type="http://schemas.openxmlformats.org/officeDocument/2006/relationships/comments" Target="../comments115.xml"/><Relationship Id="rId1" Type="http://schemas.openxmlformats.org/officeDocument/2006/relationships/vmlDrawing" Target="../drawings/vmlDrawing115.vml"/></Relationships>
</file>

<file path=xl/worksheets/_rels/sheet122.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23.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24.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25.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26.xml.rels><?xml version="1.0" encoding="UTF-8" standalone="yes"?>
<Relationships xmlns="http://schemas.openxmlformats.org/package/2006/relationships"><Relationship Id="rId2" Type="http://schemas.openxmlformats.org/officeDocument/2006/relationships/comments" Target="../comments120.xml"/><Relationship Id="rId1" Type="http://schemas.openxmlformats.org/officeDocument/2006/relationships/vmlDrawing" Target="../drawings/vmlDrawing120.vml"/></Relationships>
</file>

<file path=xl/worksheets/_rels/sheet127.xml.rels><?xml version="1.0" encoding="UTF-8" standalone="yes"?>
<Relationships xmlns="http://schemas.openxmlformats.org/package/2006/relationships"><Relationship Id="rId2" Type="http://schemas.openxmlformats.org/officeDocument/2006/relationships/comments" Target="../comments121.xml"/><Relationship Id="rId1" Type="http://schemas.openxmlformats.org/officeDocument/2006/relationships/vmlDrawing" Target="../drawings/vmlDrawing121.vml"/></Relationships>
</file>

<file path=xl/worksheets/_rels/sheet128.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29.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30.xml.rels><?xml version="1.0" encoding="UTF-8" standalone="yes"?>
<Relationships xmlns="http://schemas.openxmlformats.org/package/2006/relationships"><Relationship Id="rId2" Type="http://schemas.openxmlformats.org/officeDocument/2006/relationships/comments" Target="../comments124.xml"/><Relationship Id="rId1" Type="http://schemas.openxmlformats.org/officeDocument/2006/relationships/vmlDrawing" Target="../drawings/vmlDrawing124.vml"/></Relationships>
</file>

<file path=xl/worksheets/_rels/sheet131.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32.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33.xml.rels><?xml version="1.0" encoding="UTF-8" standalone="yes"?>
<Relationships xmlns="http://schemas.openxmlformats.org/package/2006/relationships"><Relationship Id="rId2" Type="http://schemas.openxmlformats.org/officeDocument/2006/relationships/comments" Target="../comments127.xml"/><Relationship Id="rId1" Type="http://schemas.openxmlformats.org/officeDocument/2006/relationships/vmlDrawing" Target="../drawings/vmlDrawing127.vml"/></Relationships>
</file>

<file path=xl/worksheets/_rels/sheet134.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35.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36.xml.rels><?xml version="1.0" encoding="UTF-8" standalone="yes"?>
<Relationships xmlns="http://schemas.openxmlformats.org/package/2006/relationships"><Relationship Id="rId2" Type="http://schemas.openxmlformats.org/officeDocument/2006/relationships/comments" Target="../comments130.xml"/><Relationship Id="rId1" Type="http://schemas.openxmlformats.org/officeDocument/2006/relationships/vmlDrawing" Target="../drawings/vmlDrawing130.vml"/></Relationships>
</file>

<file path=xl/worksheets/_rels/sheet137.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38.xml.rels><?xml version="1.0" encoding="UTF-8" standalone="yes"?>
<Relationships xmlns="http://schemas.openxmlformats.org/package/2006/relationships"><Relationship Id="rId2" Type="http://schemas.openxmlformats.org/officeDocument/2006/relationships/comments" Target="../comments132.xml"/><Relationship Id="rId1" Type="http://schemas.openxmlformats.org/officeDocument/2006/relationships/vmlDrawing" Target="../drawings/vmlDrawing132.vml"/></Relationships>
</file>

<file path=xl/worksheets/_rels/sheet139.xml.rels><?xml version="1.0" encoding="UTF-8" standalone="yes"?>
<Relationships xmlns="http://schemas.openxmlformats.org/package/2006/relationships"><Relationship Id="rId2" Type="http://schemas.openxmlformats.org/officeDocument/2006/relationships/comments" Target="../comments133.xml"/><Relationship Id="rId1" Type="http://schemas.openxmlformats.org/officeDocument/2006/relationships/vmlDrawing" Target="../drawings/vmlDrawing13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40.xml.rels><?xml version="1.0" encoding="UTF-8" standalone="yes"?>
<Relationships xmlns="http://schemas.openxmlformats.org/package/2006/relationships"><Relationship Id="rId2" Type="http://schemas.openxmlformats.org/officeDocument/2006/relationships/comments" Target="../comments134.xml"/><Relationship Id="rId1" Type="http://schemas.openxmlformats.org/officeDocument/2006/relationships/vmlDrawing" Target="../drawings/vmlDrawing134.vml"/></Relationships>
</file>

<file path=xl/worksheets/_rels/sheet141.xml.rels><?xml version="1.0" encoding="UTF-8" standalone="yes"?>
<Relationships xmlns="http://schemas.openxmlformats.org/package/2006/relationships"><Relationship Id="rId2" Type="http://schemas.openxmlformats.org/officeDocument/2006/relationships/comments" Target="../comments135.xml"/><Relationship Id="rId1" Type="http://schemas.openxmlformats.org/officeDocument/2006/relationships/vmlDrawing" Target="../drawings/vmlDrawing135.vml"/></Relationships>
</file>

<file path=xl/worksheets/_rels/sheet142.xml.rels><?xml version="1.0" encoding="UTF-8" standalone="yes"?>
<Relationships xmlns="http://schemas.openxmlformats.org/package/2006/relationships"><Relationship Id="rId2" Type="http://schemas.openxmlformats.org/officeDocument/2006/relationships/comments" Target="../comments136.xml"/><Relationship Id="rId1" Type="http://schemas.openxmlformats.org/officeDocument/2006/relationships/vmlDrawing" Target="../drawings/vmlDrawing136.v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xml"/></Relationships>
</file>

<file path=xl/worksheets/_rels/sheet144.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145.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146.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147.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148.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149.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2.xml"/></Relationships>
</file>

<file path=xl/worksheets/_rels/sheet151.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152.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153.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154.xml.rels><?xml version="1.0" encoding="UTF-8" standalone="yes"?>
<Relationships xmlns="http://schemas.openxmlformats.org/package/2006/relationships"><Relationship Id="rId2" Type="http://schemas.openxmlformats.org/officeDocument/2006/relationships/comments" Target="../comments148.xml"/><Relationship Id="rId1" Type="http://schemas.openxmlformats.org/officeDocument/2006/relationships/vmlDrawing" Target="../drawings/vmlDrawing148.vml"/></Relationships>
</file>

<file path=xl/worksheets/_rels/sheet155.xml.rels><?xml version="1.0" encoding="UTF-8" standalone="yes"?>
<Relationships xmlns="http://schemas.openxmlformats.org/package/2006/relationships"><Relationship Id="rId2" Type="http://schemas.openxmlformats.org/officeDocument/2006/relationships/comments" Target="../comments149.xml"/><Relationship Id="rId1" Type="http://schemas.openxmlformats.org/officeDocument/2006/relationships/vmlDrawing" Target="../drawings/vmlDrawing149.vml"/></Relationships>
</file>

<file path=xl/worksheets/_rels/sheet156.xml.rels><?xml version="1.0" encoding="UTF-8" standalone="yes"?>
<Relationships xmlns="http://schemas.openxmlformats.org/package/2006/relationships"><Relationship Id="rId2" Type="http://schemas.openxmlformats.org/officeDocument/2006/relationships/comments" Target="../comments150.xml"/><Relationship Id="rId1" Type="http://schemas.openxmlformats.org/officeDocument/2006/relationships/vmlDrawing" Target="../drawings/vmlDrawing150.vml"/></Relationships>
</file>

<file path=xl/worksheets/_rels/sheet157.xml.rels><?xml version="1.0" encoding="UTF-8" standalone="yes"?>
<Relationships xmlns="http://schemas.openxmlformats.org/package/2006/relationships"><Relationship Id="rId2" Type="http://schemas.openxmlformats.org/officeDocument/2006/relationships/comments" Target="../comments151.xml"/><Relationship Id="rId1" Type="http://schemas.openxmlformats.org/officeDocument/2006/relationships/vmlDrawing" Target="../drawings/vmlDrawing151.vml"/></Relationships>
</file>

<file path=xl/worksheets/_rels/sheet158.xml.rels><?xml version="1.0" encoding="UTF-8" standalone="yes"?>
<Relationships xmlns="http://schemas.openxmlformats.org/package/2006/relationships"><Relationship Id="rId2" Type="http://schemas.openxmlformats.org/officeDocument/2006/relationships/comments" Target="../comments152.xml"/><Relationship Id="rId1" Type="http://schemas.openxmlformats.org/officeDocument/2006/relationships/vmlDrawing" Target="../drawings/vmlDrawing152.vml"/></Relationships>
</file>

<file path=xl/worksheets/_rels/sheet159.xml.rels><?xml version="1.0" encoding="UTF-8" standalone="yes"?>
<Relationships xmlns="http://schemas.openxmlformats.org/package/2006/relationships"><Relationship Id="rId2" Type="http://schemas.openxmlformats.org/officeDocument/2006/relationships/comments" Target="../comments153.xml"/><Relationship Id="rId1" Type="http://schemas.openxmlformats.org/officeDocument/2006/relationships/vmlDrawing" Target="../drawings/vmlDrawing153.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60.xml.rels><?xml version="1.0" encoding="UTF-8" standalone="yes"?>
<Relationships xmlns="http://schemas.openxmlformats.org/package/2006/relationships"><Relationship Id="rId2" Type="http://schemas.openxmlformats.org/officeDocument/2006/relationships/comments" Target="../comments154.xml"/><Relationship Id="rId1" Type="http://schemas.openxmlformats.org/officeDocument/2006/relationships/vmlDrawing" Target="../drawings/vmlDrawing154.vml"/></Relationships>
</file>

<file path=xl/worksheets/_rels/sheet161.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162.xml.rels><?xml version="1.0" encoding="UTF-8" standalone="yes"?>
<Relationships xmlns="http://schemas.openxmlformats.org/package/2006/relationships"><Relationship Id="rId2" Type="http://schemas.openxmlformats.org/officeDocument/2006/relationships/comments" Target="../comments156.xml"/><Relationship Id="rId1" Type="http://schemas.openxmlformats.org/officeDocument/2006/relationships/vmlDrawing" Target="../drawings/vmlDrawing156.vml"/></Relationships>
</file>

<file path=xl/worksheets/_rels/sheet163.xml.rels><?xml version="1.0" encoding="UTF-8" standalone="yes"?>
<Relationships xmlns="http://schemas.openxmlformats.org/package/2006/relationships"><Relationship Id="rId2" Type="http://schemas.openxmlformats.org/officeDocument/2006/relationships/comments" Target="../comments157.xml"/><Relationship Id="rId1" Type="http://schemas.openxmlformats.org/officeDocument/2006/relationships/vmlDrawing" Target="../drawings/vmlDrawing157.vml"/></Relationships>
</file>

<file path=xl/worksheets/_rels/sheet164.xml.rels><?xml version="1.0" encoding="UTF-8" standalone="yes"?>
<Relationships xmlns="http://schemas.openxmlformats.org/package/2006/relationships"><Relationship Id="rId2" Type="http://schemas.openxmlformats.org/officeDocument/2006/relationships/comments" Target="../comments158.xml"/><Relationship Id="rId1" Type="http://schemas.openxmlformats.org/officeDocument/2006/relationships/vmlDrawing" Target="../drawings/vmlDrawing158.v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3.xml"/></Relationships>
</file>

<file path=xl/worksheets/_rels/sheet166.xml.rels><?xml version="1.0" encoding="UTF-8" standalone="yes"?>
<Relationships xmlns="http://schemas.openxmlformats.org/package/2006/relationships"><Relationship Id="rId2" Type="http://schemas.openxmlformats.org/officeDocument/2006/relationships/comments" Target="../comments160.xml"/><Relationship Id="rId1" Type="http://schemas.openxmlformats.org/officeDocument/2006/relationships/vmlDrawing" Target="../drawings/vmlDrawing160.vml"/></Relationships>
</file>

<file path=xl/worksheets/_rels/sheet167.xml.rels><?xml version="1.0" encoding="UTF-8" standalone="yes"?>
<Relationships xmlns="http://schemas.openxmlformats.org/package/2006/relationships"><Relationship Id="rId2" Type="http://schemas.openxmlformats.org/officeDocument/2006/relationships/comments" Target="../comments161.xml"/><Relationship Id="rId1" Type="http://schemas.openxmlformats.org/officeDocument/2006/relationships/vmlDrawing" Target="../drawings/vmlDrawing161.vml"/></Relationships>
</file>

<file path=xl/worksheets/_rels/sheet168.xml.rels><?xml version="1.0" encoding="UTF-8" standalone="yes"?>
<Relationships xmlns="http://schemas.openxmlformats.org/package/2006/relationships"><Relationship Id="rId2" Type="http://schemas.openxmlformats.org/officeDocument/2006/relationships/comments" Target="../comments162.xml"/><Relationship Id="rId1" Type="http://schemas.openxmlformats.org/officeDocument/2006/relationships/vmlDrawing" Target="../drawings/vmlDrawing162.vml"/></Relationships>
</file>

<file path=xl/worksheets/_rels/sheet169.xml.rels><?xml version="1.0" encoding="UTF-8" standalone="yes"?>
<Relationships xmlns="http://schemas.openxmlformats.org/package/2006/relationships"><Relationship Id="rId2" Type="http://schemas.openxmlformats.org/officeDocument/2006/relationships/comments" Target="../comments163.xml"/><Relationship Id="rId1" Type="http://schemas.openxmlformats.org/officeDocument/2006/relationships/vmlDrawing" Target="../drawings/vmlDrawing163.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70.xml.rels><?xml version="1.0" encoding="UTF-8" standalone="yes"?>
<Relationships xmlns="http://schemas.openxmlformats.org/package/2006/relationships"><Relationship Id="rId2" Type="http://schemas.openxmlformats.org/officeDocument/2006/relationships/comments" Target="../comments164.xml"/><Relationship Id="rId1" Type="http://schemas.openxmlformats.org/officeDocument/2006/relationships/vmlDrawing" Target="../drawings/vmlDrawing164.vml"/></Relationships>
</file>

<file path=xl/worksheets/_rels/sheet171.xml.rels><?xml version="1.0" encoding="UTF-8" standalone="yes"?>
<Relationships xmlns="http://schemas.openxmlformats.org/package/2006/relationships"><Relationship Id="rId2" Type="http://schemas.openxmlformats.org/officeDocument/2006/relationships/comments" Target="../comments165.xml"/><Relationship Id="rId1" Type="http://schemas.openxmlformats.org/officeDocument/2006/relationships/vmlDrawing" Target="../drawings/vmlDrawing165.vml"/></Relationships>
</file>

<file path=xl/worksheets/_rels/sheet172.xml.rels><?xml version="1.0" encoding="UTF-8" standalone="yes"?>
<Relationships xmlns="http://schemas.openxmlformats.org/package/2006/relationships"><Relationship Id="rId2" Type="http://schemas.openxmlformats.org/officeDocument/2006/relationships/comments" Target="../comments166.xml"/><Relationship Id="rId1" Type="http://schemas.openxmlformats.org/officeDocument/2006/relationships/vmlDrawing" Target="../drawings/vmlDrawing166.vml"/></Relationships>
</file>

<file path=xl/worksheets/_rels/sheet173.xml.rels><?xml version="1.0" encoding="UTF-8" standalone="yes"?>
<Relationships xmlns="http://schemas.openxmlformats.org/package/2006/relationships"><Relationship Id="rId2" Type="http://schemas.openxmlformats.org/officeDocument/2006/relationships/comments" Target="../comments167.xml"/><Relationship Id="rId1" Type="http://schemas.openxmlformats.org/officeDocument/2006/relationships/vmlDrawing" Target="../drawings/vmlDrawing167.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68.xml"/><Relationship Id="rId1" Type="http://schemas.openxmlformats.org/officeDocument/2006/relationships/vmlDrawing" Target="../drawings/vmlDrawing168.vml"/></Relationships>
</file>

<file path=xl/worksheets/_rels/sheet175.xml.rels><?xml version="1.0" encoding="UTF-8" standalone="yes"?>
<Relationships xmlns="http://schemas.openxmlformats.org/package/2006/relationships"><Relationship Id="rId2" Type="http://schemas.openxmlformats.org/officeDocument/2006/relationships/comments" Target="../comments169.xml"/><Relationship Id="rId1" Type="http://schemas.openxmlformats.org/officeDocument/2006/relationships/vmlDrawing" Target="../drawings/vmlDrawing169.vml"/></Relationships>
</file>

<file path=xl/worksheets/_rels/sheet176.xml.rels><?xml version="1.0" encoding="UTF-8" standalone="yes"?>
<Relationships xmlns="http://schemas.openxmlformats.org/package/2006/relationships"><Relationship Id="rId2" Type="http://schemas.openxmlformats.org/officeDocument/2006/relationships/comments" Target="../comments170.xml"/><Relationship Id="rId1" Type="http://schemas.openxmlformats.org/officeDocument/2006/relationships/vmlDrawing" Target="../drawings/vmlDrawing170.vml"/></Relationships>
</file>

<file path=xl/worksheets/_rels/sheet177.xml.rels><?xml version="1.0" encoding="UTF-8" standalone="yes"?>
<Relationships xmlns="http://schemas.openxmlformats.org/package/2006/relationships"><Relationship Id="rId2" Type="http://schemas.openxmlformats.org/officeDocument/2006/relationships/comments" Target="../comments171.xml"/><Relationship Id="rId1" Type="http://schemas.openxmlformats.org/officeDocument/2006/relationships/vmlDrawing" Target="../drawings/vmlDrawing171.vml"/></Relationships>
</file>

<file path=xl/worksheets/_rels/sheet178.xml.rels><?xml version="1.0" encoding="UTF-8" standalone="yes"?>
<Relationships xmlns="http://schemas.openxmlformats.org/package/2006/relationships"><Relationship Id="rId2" Type="http://schemas.openxmlformats.org/officeDocument/2006/relationships/comments" Target="../comments172.xml"/><Relationship Id="rId1" Type="http://schemas.openxmlformats.org/officeDocument/2006/relationships/vmlDrawing" Target="../drawings/vmlDrawing172.vml"/></Relationships>
</file>

<file path=xl/worksheets/_rels/sheet179.xml.rels><?xml version="1.0" encoding="UTF-8" standalone="yes"?>
<Relationships xmlns="http://schemas.openxmlformats.org/package/2006/relationships"><Relationship Id="rId2" Type="http://schemas.openxmlformats.org/officeDocument/2006/relationships/comments" Target="../comments173.xml"/><Relationship Id="rId1" Type="http://schemas.openxmlformats.org/officeDocument/2006/relationships/vmlDrawing" Target="../drawings/vmlDrawing173.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180.xml.rels><?xml version="1.0" encoding="UTF-8" standalone="yes"?>
<Relationships xmlns="http://schemas.openxmlformats.org/package/2006/relationships"><Relationship Id="rId2" Type="http://schemas.openxmlformats.org/officeDocument/2006/relationships/comments" Target="../comments174.xml"/><Relationship Id="rId1" Type="http://schemas.openxmlformats.org/officeDocument/2006/relationships/vmlDrawing" Target="../drawings/vmlDrawing174.vml"/></Relationships>
</file>

<file path=xl/worksheets/_rels/sheet181.xml.rels><?xml version="1.0" encoding="UTF-8" standalone="yes"?>
<Relationships xmlns="http://schemas.openxmlformats.org/package/2006/relationships"><Relationship Id="rId2" Type="http://schemas.openxmlformats.org/officeDocument/2006/relationships/comments" Target="../comments175.xml"/><Relationship Id="rId1" Type="http://schemas.openxmlformats.org/officeDocument/2006/relationships/vmlDrawing" Target="../drawings/vmlDrawing175.vml"/></Relationships>
</file>

<file path=xl/worksheets/_rels/sheet182.xml.rels><?xml version="1.0" encoding="UTF-8" standalone="yes"?>
<Relationships xmlns="http://schemas.openxmlformats.org/package/2006/relationships"><Relationship Id="rId2" Type="http://schemas.openxmlformats.org/officeDocument/2006/relationships/comments" Target="../comments176.xml"/><Relationship Id="rId1" Type="http://schemas.openxmlformats.org/officeDocument/2006/relationships/vmlDrawing" Target="../drawings/vmlDrawing176.vml"/></Relationships>
</file>

<file path=xl/worksheets/_rels/sheet183.xml.rels><?xml version="1.0" encoding="UTF-8" standalone="yes"?>
<Relationships xmlns="http://schemas.openxmlformats.org/package/2006/relationships"><Relationship Id="rId2" Type="http://schemas.openxmlformats.org/officeDocument/2006/relationships/comments" Target="../comments177.xml"/><Relationship Id="rId1" Type="http://schemas.openxmlformats.org/officeDocument/2006/relationships/vmlDrawing" Target="../drawings/vmlDrawing177.vml"/></Relationships>
</file>

<file path=xl/worksheets/_rels/sheet184.xml.rels><?xml version="1.0" encoding="UTF-8" standalone="yes"?>
<Relationships xmlns="http://schemas.openxmlformats.org/package/2006/relationships"><Relationship Id="rId2" Type="http://schemas.openxmlformats.org/officeDocument/2006/relationships/comments" Target="../comments178.xml"/><Relationship Id="rId1" Type="http://schemas.openxmlformats.org/officeDocument/2006/relationships/vmlDrawing" Target="../drawings/vmlDrawing178.vml"/></Relationships>
</file>

<file path=xl/worksheets/_rels/sheet185.xml.rels><?xml version="1.0" encoding="UTF-8" standalone="yes"?>
<Relationships xmlns="http://schemas.openxmlformats.org/package/2006/relationships"><Relationship Id="rId2" Type="http://schemas.openxmlformats.org/officeDocument/2006/relationships/comments" Target="../comments179.xml"/><Relationship Id="rId1" Type="http://schemas.openxmlformats.org/officeDocument/2006/relationships/vmlDrawing" Target="../drawings/vmlDrawing179.vml"/></Relationships>
</file>

<file path=xl/worksheets/_rels/sheet186.xml.rels><?xml version="1.0" encoding="UTF-8" standalone="yes"?>
<Relationships xmlns="http://schemas.openxmlformats.org/package/2006/relationships"><Relationship Id="rId2" Type="http://schemas.openxmlformats.org/officeDocument/2006/relationships/comments" Target="../comments180.xml"/><Relationship Id="rId1" Type="http://schemas.openxmlformats.org/officeDocument/2006/relationships/vmlDrawing" Target="../drawings/vmlDrawing180.vml"/></Relationships>
</file>

<file path=xl/worksheets/_rels/sheet187.xml.rels><?xml version="1.0" encoding="UTF-8" standalone="yes"?>
<Relationships xmlns="http://schemas.openxmlformats.org/package/2006/relationships"><Relationship Id="rId2" Type="http://schemas.openxmlformats.org/officeDocument/2006/relationships/comments" Target="../comments181.xml"/><Relationship Id="rId1" Type="http://schemas.openxmlformats.org/officeDocument/2006/relationships/vmlDrawing" Target="../drawings/vmlDrawing181.vml"/></Relationships>
</file>

<file path=xl/worksheets/_rels/sheet188.xml.rels><?xml version="1.0" encoding="UTF-8" standalone="yes"?>
<Relationships xmlns="http://schemas.openxmlformats.org/package/2006/relationships"><Relationship Id="rId2" Type="http://schemas.openxmlformats.org/officeDocument/2006/relationships/comments" Target="../comments182.xml"/><Relationship Id="rId1" Type="http://schemas.openxmlformats.org/officeDocument/2006/relationships/vmlDrawing" Target="../drawings/vmlDrawing182.vml"/></Relationships>
</file>

<file path=xl/worksheets/_rels/sheet189.xml.rels><?xml version="1.0" encoding="UTF-8" standalone="yes"?>
<Relationships xmlns="http://schemas.openxmlformats.org/package/2006/relationships"><Relationship Id="rId2" Type="http://schemas.openxmlformats.org/officeDocument/2006/relationships/comments" Target="../comments183.xml"/><Relationship Id="rId1" Type="http://schemas.openxmlformats.org/officeDocument/2006/relationships/vmlDrawing" Target="../drawings/vmlDrawing18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190.xml.rels><?xml version="1.0" encoding="UTF-8" standalone="yes"?>
<Relationships xmlns="http://schemas.openxmlformats.org/package/2006/relationships"><Relationship Id="rId2" Type="http://schemas.openxmlformats.org/officeDocument/2006/relationships/comments" Target="../comments184.xml"/><Relationship Id="rId1" Type="http://schemas.openxmlformats.org/officeDocument/2006/relationships/vmlDrawing" Target="../drawings/vmlDrawing184.vml"/></Relationships>
</file>

<file path=xl/worksheets/_rels/sheet191.xml.rels><?xml version="1.0" encoding="UTF-8" standalone="yes"?>
<Relationships xmlns="http://schemas.openxmlformats.org/package/2006/relationships"><Relationship Id="rId2" Type="http://schemas.openxmlformats.org/officeDocument/2006/relationships/comments" Target="../comments185.xml"/><Relationship Id="rId1" Type="http://schemas.openxmlformats.org/officeDocument/2006/relationships/vmlDrawing" Target="../drawings/vmlDrawing185.vml"/></Relationships>
</file>

<file path=xl/worksheets/_rels/sheet192.xml.rels><?xml version="1.0" encoding="UTF-8" standalone="yes"?>
<Relationships xmlns="http://schemas.openxmlformats.org/package/2006/relationships"><Relationship Id="rId2" Type="http://schemas.openxmlformats.org/officeDocument/2006/relationships/comments" Target="../comments186.xml"/><Relationship Id="rId1" Type="http://schemas.openxmlformats.org/officeDocument/2006/relationships/vmlDrawing" Target="../drawings/vmlDrawing186.vml"/></Relationships>
</file>

<file path=xl/worksheets/_rels/sheet193.xml.rels><?xml version="1.0" encoding="UTF-8" standalone="yes"?>
<Relationships xmlns="http://schemas.openxmlformats.org/package/2006/relationships"><Relationship Id="rId2" Type="http://schemas.openxmlformats.org/officeDocument/2006/relationships/comments" Target="../comments187.xml"/><Relationship Id="rId1" Type="http://schemas.openxmlformats.org/officeDocument/2006/relationships/vmlDrawing" Target="../drawings/vmlDrawing187.vml"/></Relationships>
</file>

<file path=xl/worksheets/_rels/sheet194.xml.rels><?xml version="1.0" encoding="UTF-8" standalone="yes"?>
<Relationships xmlns="http://schemas.openxmlformats.org/package/2006/relationships"><Relationship Id="rId2" Type="http://schemas.openxmlformats.org/officeDocument/2006/relationships/comments" Target="../comments188.xml"/><Relationship Id="rId1" Type="http://schemas.openxmlformats.org/officeDocument/2006/relationships/vmlDrawing" Target="../drawings/vmlDrawing188.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89.xml"/><Relationship Id="rId1" Type="http://schemas.openxmlformats.org/officeDocument/2006/relationships/vmlDrawing" Target="../drawings/vmlDrawing189.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90.xml"/><Relationship Id="rId1" Type="http://schemas.openxmlformats.org/officeDocument/2006/relationships/vmlDrawing" Target="../drawings/vmlDrawing190.vm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91.xml"/><Relationship Id="rId1" Type="http://schemas.openxmlformats.org/officeDocument/2006/relationships/vmlDrawing" Target="../drawings/vmlDrawing191.vml"/></Relationships>
</file>

<file path=xl/worksheets/_rels/sheet198.xml.rels><?xml version="1.0" encoding="UTF-8" standalone="yes"?>
<Relationships xmlns="http://schemas.openxmlformats.org/package/2006/relationships"><Relationship Id="rId2" Type="http://schemas.openxmlformats.org/officeDocument/2006/relationships/comments" Target="../comments192.xml"/><Relationship Id="rId1" Type="http://schemas.openxmlformats.org/officeDocument/2006/relationships/vmlDrawing" Target="../drawings/vmlDrawing192.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93.xml"/><Relationship Id="rId1" Type="http://schemas.openxmlformats.org/officeDocument/2006/relationships/vmlDrawing" Target="../drawings/vmlDrawing19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00.xml.rels><?xml version="1.0" encoding="UTF-8" standalone="yes"?>
<Relationships xmlns="http://schemas.openxmlformats.org/package/2006/relationships"><Relationship Id="rId2" Type="http://schemas.openxmlformats.org/officeDocument/2006/relationships/comments" Target="../comments194.xml"/><Relationship Id="rId1" Type="http://schemas.openxmlformats.org/officeDocument/2006/relationships/vmlDrawing" Target="../drawings/vmlDrawing194.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195.xml"/><Relationship Id="rId1" Type="http://schemas.openxmlformats.org/officeDocument/2006/relationships/vmlDrawing" Target="../drawings/vmlDrawing195.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96.xml"/><Relationship Id="rId1" Type="http://schemas.openxmlformats.org/officeDocument/2006/relationships/vmlDrawing" Target="../drawings/vmlDrawing196.vml"/></Relationships>
</file>

<file path=xl/worksheets/_rels/sheet203.xml.rels><?xml version="1.0" encoding="UTF-8" standalone="yes"?>
<Relationships xmlns="http://schemas.openxmlformats.org/package/2006/relationships"><Relationship Id="rId2" Type="http://schemas.openxmlformats.org/officeDocument/2006/relationships/comments" Target="../comments197.xml"/><Relationship Id="rId1" Type="http://schemas.openxmlformats.org/officeDocument/2006/relationships/vmlDrawing" Target="../drawings/vmlDrawing197.vml"/></Relationships>
</file>

<file path=xl/worksheets/_rels/sheet204.xml.rels><?xml version="1.0" encoding="UTF-8" standalone="yes"?>
<Relationships xmlns="http://schemas.openxmlformats.org/package/2006/relationships"><Relationship Id="rId2" Type="http://schemas.openxmlformats.org/officeDocument/2006/relationships/comments" Target="../comments198.xml"/><Relationship Id="rId1" Type="http://schemas.openxmlformats.org/officeDocument/2006/relationships/vmlDrawing" Target="../drawings/vmlDrawing198.vml"/></Relationships>
</file>

<file path=xl/worksheets/_rels/sheet205.xml.rels><?xml version="1.0" encoding="UTF-8" standalone="yes"?>
<Relationships xmlns="http://schemas.openxmlformats.org/package/2006/relationships"><Relationship Id="rId2" Type="http://schemas.openxmlformats.org/officeDocument/2006/relationships/comments" Target="../comments199.xml"/><Relationship Id="rId1" Type="http://schemas.openxmlformats.org/officeDocument/2006/relationships/vmlDrawing" Target="../drawings/vmlDrawing199.vml"/></Relationships>
</file>

<file path=xl/worksheets/_rels/sheet206.xml.rels><?xml version="1.0" encoding="UTF-8" standalone="yes"?>
<Relationships xmlns="http://schemas.openxmlformats.org/package/2006/relationships"><Relationship Id="rId2" Type="http://schemas.openxmlformats.org/officeDocument/2006/relationships/comments" Target="../comments200.xml"/><Relationship Id="rId1" Type="http://schemas.openxmlformats.org/officeDocument/2006/relationships/vmlDrawing" Target="../drawings/vmlDrawing200.vml"/></Relationships>
</file>

<file path=xl/worksheets/_rels/sheet207.xml.rels><?xml version="1.0" encoding="UTF-8" standalone="yes"?>
<Relationships xmlns="http://schemas.openxmlformats.org/package/2006/relationships"><Relationship Id="rId2" Type="http://schemas.openxmlformats.org/officeDocument/2006/relationships/comments" Target="../comments201.xml"/><Relationship Id="rId1" Type="http://schemas.openxmlformats.org/officeDocument/2006/relationships/vmlDrawing" Target="../drawings/vmlDrawing201.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202.xml"/><Relationship Id="rId1" Type="http://schemas.openxmlformats.org/officeDocument/2006/relationships/vmlDrawing" Target="../drawings/vmlDrawing202.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203.xml"/><Relationship Id="rId1" Type="http://schemas.openxmlformats.org/officeDocument/2006/relationships/vmlDrawing" Target="../drawings/vmlDrawing20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10.xml.rels><?xml version="1.0" encoding="UTF-8" standalone="yes"?>
<Relationships xmlns="http://schemas.openxmlformats.org/package/2006/relationships"><Relationship Id="rId2" Type="http://schemas.openxmlformats.org/officeDocument/2006/relationships/comments" Target="../comments204.xml"/><Relationship Id="rId1" Type="http://schemas.openxmlformats.org/officeDocument/2006/relationships/vmlDrawing" Target="../drawings/vmlDrawing204.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205.xml"/><Relationship Id="rId1" Type="http://schemas.openxmlformats.org/officeDocument/2006/relationships/vmlDrawing" Target="../drawings/vmlDrawing205.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206.xml"/><Relationship Id="rId1" Type="http://schemas.openxmlformats.org/officeDocument/2006/relationships/vmlDrawing" Target="../drawings/vmlDrawing206.vml"/></Relationships>
</file>

<file path=xl/worksheets/_rels/sheet213.xml.rels><?xml version="1.0" encoding="UTF-8" standalone="yes"?>
<Relationships xmlns="http://schemas.openxmlformats.org/package/2006/relationships"><Relationship Id="rId2" Type="http://schemas.openxmlformats.org/officeDocument/2006/relationships/comments" Target="../comments207.xml"/><Relationship Id="rId1" Type="http://schemas.openxmlformats.org/officeDocument/2006/relationships/vmlDrawing" Target="../drawings/vmlDrawing207.vml"/></Relationships>
</file>

<file path=xl/worksheets/_rels/sheet214.xml.rels><?xml version="1.0" encoding="UTF-8" standalone="yes"?>
<Relationships xmlns="http://schemas.openxmlformats.org/package/2006/relationships"><Relationship Id="rId2" Type="http://schemas.openxmlformats.org/officeDocument/2006/relationships/comments" Target="../comments208.xml"/><Relationship Id="rId1" Type="http://schemas.openxmlformats.org/officeDocument/2006/relationships/vmlDrawing" Target="../drawings/vmlDrawing20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6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9.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70.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73.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74.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75.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79.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80.xml.rels><?xml version="1.0" encoding="UTF-8" standalone="yes"?>
<Relationships xmlns="http://schemas.openxmlformats.org/package/2006/relationships"><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82.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84.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85.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80.xml"/><Relationship Id="rId1" Type="http://schemas.openxmlformats.org/officeDocument/2006/relationships/vmlDrawing" Target="../drawings/vmlDrawing80.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89.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90.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87.xml"/><Relationship Id="rId1" Type="http://schemas.openxmlformats.org/officeDocument/2006/relationships/vmlDrawing" Target="../drawings/vmlDrawing87.vml"/></Relationships>
</file>

<file path=xl/worksheets/_rels/sheet94.xml.rels><?xml version="1.0" encoding="UTF-8" standalone="yes"?>
<Relationships xmlns="http://schemas.openxmlformats.org/package/2006/relationships"><Relationship Id="rId2" Type="http://schemas.openxmlformats.org/officeDocument/2006/relationships/comments" Target="../comments88.xml"/><Relationship Id="rId1" Type="http://schemas.openxmlformats.org/officeDocument/2006/relationships/vmlDrawing" Target="../drawings/vmlDrawing88.vml"/></Relationships>
</file>

<file path=xl/worksheets/_rels/sheet95.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96.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91.xml"/><Relationship Id="rId1" Type="http://schemas.openxmlformats.org/officeDocument/2006/relationships/vmlDrawing" Target="../drawings/vmlDrawing91.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92.xml"/><Relationship Id="rId1" Type="http://schemas.openxmlformats.org/officeDocument/2006/relationships/vmlDrawing" Target="../drawings/vmlDrawing92.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16"/>
  <sheetViews>
    <sheetView zoomScale="70" zoomScaleNormal="70" workbookViewId="0">
      <pane ySplit="3" topLeftCell="A4" activePane="bottomLeft" state="frozen"/>
      <selection pane="bottomLeft" activeCell="M7" sqref="M7"/>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成都净蓝科技有限公司审计明细表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26">
      <c r="A4" s="9">
        <v>1</v>
      </c>
      <c r="B4" s="9" t="s">
        <v>31</v>
      </c>
      <c r="C4" s="9" t="s">
        <v>32</v>
      </c>
      <c r="D4" s="9" t="s">
        <v>33</v>
      </c>
      <c r="E4" s="9" t="s">
        <v>34</v>
      </c>
      <c r="F4" s="9" t="s">
        <v>35</v>
      </c>
      <c r="G4" s="9" t="s">
        <v>36</v>
      </c>
      <c r="H4" s="9" t="s">
        <v>37</v>
      </c>
      <c r="I4" s="9" t="s">
        <v>38</v>
      </c>
      <c r="J4" s="9" t="s">
        <v>39</v>
      </c>
      <c r="K4" s="9">
        <v>200</v>
      </c>
      <c r="L4" s="9" t="s">
        <v>40</v>
      </c>
      <c r="M4" s="20" t="s">
        <v>41</v>
      </c>
      <c r="N4" s="16">
        <v>44820</v>
      </c>
      <c r="O4" s="16">
        <v>45077</v>
      </c>
      <c r="P4" s="9">
        <f>P12-N4</f>
        <v>215</v>
      </c>
      <c r="Q4" s="22">
        <f>SUM(Q5:Q25)</f>
        <v>4.72</v>
      </c>
      <c r="R4" s="22">
        <v>1.41</v>
      </c>
      <c r="S4" s="9"/>
      <c r="T4" s="22">
        <f>SUM(T5:T25)</f>
        <v>4.72</v>
      </c>
      <c r="U4" s="23">
        <v>3.95E-2</v>
      </c>
      <c r="V4" s="16"/>
      <c r="W4" s="9" t="s">
        <v>42</v>
      </c>
      <c r="X4" s="24">
        <v>0.01</v>
      </c>
      <c r="Y4" s="9">
        <f>ROUNDDOWN(IF((O4-N4+1)*K4*X4/365&gt;R4,R4,(O4-N4+1)*K4*X4/365),2)</f>
        <v>1.41</v>
      </c>
      <c r="Z4" s="22">
        <f>R4-Y4</f>
        <v>0</v>
      </c>
      <c r="AA4" s="22" t="s">
        <v>43</v>
      </c>
      <c r="AB4" s="9" t="s">
        <v>44</v>
      </c>
      <c r="AD4" s="28">
        <f>(O4-N4+1)*K4*X4/365</f>
        <v>1.4137</v>
      </c>
    </row>
    <row r="5" spans="1:30" s="2" customFormat="1" ht="28">
      <c r="A5" s="10"/>
      <c r="B5" s="10"/>
      <c r="C5" s="10"/>
      <c r="D5" s="10"/>
      <c r="E5" s="10"/>
      <c r="F5" s="10"/>
      <c r="G5" s="10"/>
      <c r="H5" s="10"/>
      <c r="I5" s="10"/>
      <c r="J5" s="10"/>
      <c r="K5" s="10"/>
      <c r="L5" s="10"/>
      <c r="M5" s="17" t="s">
        <v>45</v>
      </c>
      <c r="N5" s="18"/>
      <c r="O5" s="18"/>
      <c r="P5" s="19">
        <v>44825</v>
      </c>
      <c r="Q5" s="25">
        <v>0.11</v>
      </c>
      <c r="R5" s="10"/>
      <c r="S5" s="19">
        <f>P5</f>
        <v>44825</v>
      </c>
      <c r="T5" s="25">
        <f>(S5-N4)/360*$U$4*$K$4</f>
        <v>0.11</v>
      </c>
      <c r="U5" s="25">
        <f>T5-Q5</f>
        <v>0</v>
      </c>
      <c r="V5" s="18"/>
      <c r="W5" s="10"/>
      <c r="X5" s="10"/>
      <c r="Y5" s="10">
        <f>ROUNDDOWN((V5-N4)*K4*X4/365,2)</f>
        <v>-245.58</v>
      </c>
      <c r="Z5" s="10"/>
      <c r="AA5" s="10"/>
      <c r="AB5" s="10"/>
    </row>
    <row r="6" spans="1:30" s="2" customFormat="1">
      <c r="A6" s="10"/>
      <c r="B6" s="10"/>
      <c r="C6" s="10"/>
      <c r="D6" s="10"/>
      <c r="E6" s="10"/>
      <c r="F6" s="10"/>
      <c r="G6" s="10"/>
      <c r="H6" s="10"/>
      <c r="I6" s="10"/>
      <c r="J6" s="10"/>
      <c r="K6" s="10"/>
      <c r="L6" s="10"/>
      <c r="M6" s="17"/>
      <c r="N6" s="18"/>
      <c r="O6" s="18"/>
      <c r="P6" s="19">
        <v>44855</v>
      </c>
      <c r="Q6" s="25">
        <v>0.66</v>
      </c>
      <c r="R6" s="10"/>
      <c r="S6" s="19">
        <f t="shared" ref="S6:S12" si="0">P6</f>
        <v>44855</v>
      </c>
      <c r="T6" s="25">
        <f>(S6-S5)*$K$4*$U$4/360</f>
        <v>0.66</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44886</v>
      </c>
      <c r="Q7" s="25">
        <v>0.68</v>
      </c>
      <c r="R7" s="10"/>
      <c r="S7" s="19">
        <f t="shared" si="0"/>
        <v>44886</v>
      </c>
      <c r="T7" s="25">
        <f t="shared" ref="T7:T12" si="1">(S7-S6)*$K$4*$U$4/360</f>
        <v>0.68</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44916</v>
      </c>
      <c r="Q8" s="25">
        <v>0.66</v>
      </c>
      <c r="R8" s="10"/>
      <c r="S8" s="19">
        <f t="shared" si="0"/>
        <v>44916</v>
      </c>
      <c r="T8" s="25">
        <f t="shared" si="1"/>
        <v>0.66</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44947</v>
      </c>
      <c r="Q9" s="25">
        <v>0.68</v>
      </c>
      <c r="R9" s="10"/>
      <c r="S9" s="19">
        <f t="shared" si="0"/>
        <v>44947</v>
      </c>
      <c r="T9" s="25">
        <f t="shared" si="1"/>
        <v>0.68</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44978</v>
      </c>
      <c r="Q10" s="25">
        <v>0.68</v>
      </c>
      <c r="R10" s="10"/>
      <c r="S10" s="19">
        <f t="shared" si="0"/>
        <v>44978</v>
      </c>
      <c r="T10" s="25">
        <f t="shared" si="1"/>
        <v>0.68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45006</v>
      </c>
      <c r="Q11" s="25">
        <v>0.61</v>
      </c>
      <c r="R11" s="10"/>
      <c r="S11" s="19">
        <f t="shared" si="0"/>
        <v>45006</v>
      </c>
      <c r="T11" s="25">
        <f t="shared" si="1"/>
        <v>0.61</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45035</v>
      </c>
      <c r="Q12" s="25">
        <v>0.64</v>
      </c>
      <c r="R12" s="10"/>
      <c r="S12" s="19">
        <f t="shared" si="0"/>
        <v>45035</v>
      </c>
      <c r="T12" s="25">
        <f t="shared" si="1"/>
        <v>0.64</v>
      </c>
      <c r="U12" s="25">
        <f t="shared" si="2"/>
        <v>0</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26">
      <c r="A26" s="9">
        <v>2</v>
      </c>
      <c r="B26" s="9" t="str">
        <f>B4</f>
        <v>成都净蓝科技有限公司</v>
      </c>
      <c r="C26" s="9" t="str">
        <f t="shared" ref="C26:G26" si="3">C4</f>
        <v>成都高新技术产业开发区市场监督管理局</v>
      </c>
      <c r="D26" s="9" t="str">
        <f t="shared" si="3"/>
        <v>91510100075378753R</v>
      </c>
      <c r="E26" s="9" t="str">
        <f t="shared" si="3"/>
        <v>私营企业</v>
      </c>
      <c r="F26" s="9" t="str">
        <f t="shared" si="3"/>
        <v>国家税务总局成都高新技术产业开发区税务局</v>
      </c>
      <c r="G26" s="9" t="str">
        <f t="shared" si="3"/>
        <v>4402235009100123919中国工商银行成都高新城南支行</v>
      </c>
      <c r="H26" s="9" t="s">
        <v>37</v>
      </c>
      <c r="I26" s="9" t="s">
        <v>38</v>
      </c>
      <c r="J26" s="9" t="s">
        <v>39</v>
      </c>
      <c r="K26" s="9">
        <v>100</v>
      </c>
      <c r="L26" s="9" t="s">
        <v>46</v>
      </c>
      <c r="M26" s="20" t="s">
        <v>47</v>
      </c>
      <c r="N26" s="16">
        <v>44820</v>
      </c>
      <c r="O26" s="16">
        <v>45077</v>
      </c>
      <c r="P26" s="9">
        <f>P34-N26</f>
        <v>215</v>
      </c>
      <c r="Q26" s="22">
        <f>SUM(Q27:Q47)</f>
        <v>2.36</v>
      </c>
      <c r="R26" s="127">
        <v>0.7</v>
      </c>
      <c r="S26" s="9"/>
      <c r="T26" s="9">
        <f>SUM(T27:T47)</f>
        <v>2.36</v>
      </c>
      <c r="U26" s="23">
        <v>3.95E-2</v>
      </c>
      <c r="V26" s="16"/>
      <c r="W26" s="9" t="s">
        <v>42</v>
      </c>
      <c r="X26" s="24">
        <v>0.01</v>
      </c>
      <c r="Y26" s="9">
        <f>ROUNDDOWN(IF((O26-N26+1)*K26*X26/365&gt;R26,R26,(O26-N26+1)*K26*X26/365),2)</f>
        <v>0.7</v>
      </c>
      <c r="Z26" s="9">
        <f>R26-Y26</f>
        <v>0</v>
      </c>
      <c r="AA26" s="9"/>
      <c r="AB26" s="9" t="s">
        <v>44</v>
      </c>
      <c r="AD26" s="1">
        <f>(O26-N26+1)*K26*X26/365</f>
        <v>0.70684931506849302</v>
      </c>
    </row>
    <row r="27" spans="1:30" s="2" customFormat="1" ht="36.75" customHeight="1">
      <c r="A27" s="10"/>
      <c r="B27" s="10"/>
      <c r="C27" s="10"/>
      <c r="D27" s="10"/>
      <c r="E27" s="10"/>
      <c r="F27" s="10"/>
      <c r="G27" s="10"/>
      <c r="H27" s="10"/>
      <c r="I27" s="10"/>
      <c r="J27" s="10"/>
      <c r="K27" s="10"/>
      <c r="L27" s="10"/>
      <c r="M27" s="17" t="s">
        <v>45</v>
      </c>
      <c r="N27" s="18"/>
      <c r="O27" s="18"/>
      <c r="P27" s="19">
        <v>44825</v>
      </c>
      <c r="Q27" s="25">
        <v>0.05</v>
      </c>
      <c r="R27" s="10"/>
      <c r="S27" s="19">
        <f>P27</f>
        <v>44825</v>
      </c>
      <c r="T27" s="25">
        <f>(S27-N26)/360*$U$26*$K$26</f>
        <v>0.05</v>
      </c>
      <c r="U27" s="25">
        <f>T27-Q27</f>
        <v>0</v>
      </c>
      <c r="V27" s="18"/>
      <c r="W27" s="10"/>
      <c r="X27" s="10"/>
      <c r="Y27" s="29">
        <f>ROUNDDOWN((V27-N26)*K26*X26/365,2)</f>
        <v>-122.79</v>
      </c>
      <c r="Z27" s="10"/>
      <c r="AA27" s="10"/>
      <c r="AB27" s="10"/>
    </row>
    <row r="28" spans="1:30" s="2" customFormat="1">
      <c r="A28" s="10"/>
      <c r="B28" s="10"/>
      <c r="C28" s="10"/>
      <c r="D28" s="10"/>
      <c r="E28" s="10"/>
      <c r="F28" s="10"/>
      <c r="G28" s="10"/>
      <c r="H28" s="10"/>
      <c r="I28" s="10"/>
      <c r="J28" s="10"/>
      <c r="K28" s="10"/>
      <c r="L28" s="10"/>
      <c r="M28" s="17"/>
      <c r="N28" s="18"/>
      <c r="O28" s="18"/>
      <c r="P28" s="19">
        <v>44855</v>
      </c>
      <c r="Q28" s="25">
        <v>0.33</v>
      </c>
      <c r="R28" s="10"/>
      <c r="S28" s="19">
        <f t="shared" ref="S28:S34" si="4">P28</f>
        <v>44855</v>
      </c>
      <c r="T28" s="25">
        <f>(S28-S27)*$U$26*$K$26/360</f>
        <v>0.33</v>
      </c>
      <c r="U28" s="25">
        <f t="shared" ref="U28:U34" si="5">T28-Q28</f>
        <v>0</v>
      </c>
      <c r="V28" s="10"/>
      <c r="W28" s="10"/>
      <c r="X28" s="10"/>
      <c r="Y28" s="29">
        <f>ROUNDDOWN((O26-V27+1)*(K26-W27)*X26/365,2)</f>
        <v>123.5</v>
      </c>
      <c r="Z28" s="10"/>
      <c r="AA28" s="10"/>
      <c r="AB28" s="10"/>
    </row>
    <row r="29" spans="1:30" s="2" customFormat="1">
      <c r="A29" s="10"/>
      <c r="B29" s="10"/>
      <c r="C29" s="10"/>
      <c r="D29" s="10"/>
      <c r="E29" s="10"/>
      <c r="F29" s="10"/>
      <c r="G29" s="10"/>
      <c r="H29" s="10"/>
      <c r="I29" s="10"/>
      <c r="J29" s="10"/>
      <c r="K29" s="10"/>
      <c r="L29" s="10"/>
      <c r="M29" s="17"/>
      <c r="N29" s="18"/>
      <c r="O29" s="18"/>
      <c r="P29" s="19">
        <v>44886</v>
      </c>
      <c r="Q29" s="25">
        <v>0.34</v>
      </c>
      <c r="R29" s="10"/>
      <c r="S29" s="19">
        <f t="shared" si="4"/>
        <v>44886</v>
      </c>
      <c r="T29" s="25">
        <f t="shared" ref="T29:T34" si="6">(S29-S28)*$U$26*$K$26/360</f>
        <v>0.34</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44916</v>
      </c>
      <c r="Q30" s="25">
        <v>0.33</v>
      </c>
      <c r="R30" s="10"/>
      <c r="S30" s="19">
        <f t="shared" si="4"/>
        <v>44916</v>
      </c>
      <c r="T30" s="25">
        <f t="shared" si="6"/>
        <v>0.33</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44947</v>
      </c>
      <c r="Q31" s="25">
        <v>0.34</v>
      </c>
      <c r="R31" s="10"/>
      <c r="S31" s="19">
        <f t="shared" si="4"/>
        <v>44947</v>
      </c>
      <c r="T31" s="25">
        <f t="shared" si="6"/>
        <v>0.34</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44978</v>
      </c>
      <c r="Q32" s="25">
        <v>0.34</v>
      </c>
      <c r="R32" s="10"/>
      <c r="S32" s="19">
        <f t="shared" si="4"/>
        <v>44978</v>
      </c>
      <c r="T32" s="25">
        <f t="shared" si="6"/>
        <v>0.34</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45006</v>
      </c>
      <c r="Q33" s="25">
        <v>0.31</v>
      </c>
      <c r="R33" s="10"/>
      <c r="S33" s="19">
        <f t="shared" si="4"/>
        <v>45006</v>
      </c>
      <c r="T33" s="25">
        <f t="shared" si="6"/>
        <v>0.31</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45035</v>
      </c>
      <c r="Q34" s="25">
        <v>0.32</v>
      </c>
      <c r="R34" s="10"/>
      <c r="S34" s="19">
        <f t="shared" si="4"/>
        <v>45035</v>
      </c>
      <c r="T34" s="25">
        <f t="shared" si="6"/>
        <v>0.32</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成都净蓝科技有限公司</v>
      </c>
      <c r="C48" s="9" t="str">
        <f t="shared" ref="C48:G48" si="7">C26</f>
        <v>成都高新技术产业开发区市场监督管理局</v>
      </c>
      <c r="D48" s="9" t="str">
        <f t="shared" si="7"/>
        <v>91510100075378753R</v>
      </c>
      <c r="E48" s="9" t="str">
        <f t="shared" si="7"/>
        <v>私营企业</v>
      </c>
      <c r="F48" s="9" t="str">
        <f t="shared" si="7"/>
        <v>国家税务总局成都高新技术产业开发区税务局</v>
      </c>
      <c r="G48" s="9" t="str">
        <f t="shared" si="7"/>
        <v>4402235009100123919中国工商银行成都高新城南支行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成都净蓝科技有限公司</v>
      </c>
      <c r="C70" s="9" t="str">
        <f t="shared" ref="C70:G70" si="10">C48</f>
        <v>成都高新技术产业开发区市场监督管理局</v>
      </c>
      <c r="D70" s="9" t="str">
        <f t="shared" si="10"/>
        <v>91510100075378753R</v>
      </c>
      <c r="E70" s="9" t="str">
        <f t="shared" si="10"/>
        <v>私营企业</v>
      </c>
      <c r="F70" s="9" t="str">
        <f t="shared" si="10"/>
        <v>国家税务总局成都高新技术产业开发区税务局</v>
      </c>
      <c r="G70" s="9" t="str">
        <f t="shared" si="10"/>
        <v>4402235009100123919中国工商银行成都高新城南支行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成都净蓝科技有限公司</v>
      </c>
      <c r="C92" s="9" t="str">
        <f t="shared" ref="C92:G92" si="11">C70</f>
        <v>成都高新技术产业开发区市场监督管理局</v>
      </c>
      <c r="D92" s="9" t="str">
        <f t="shared" si="11"/>
        <v>91510100075378753R</v>
      </c>
      <c r="E92" s="9" t="str">
        <f t="shared" si="11"/>
        <v>私营企业</v>
      </c>
      <c r="F92" s="9" t="str">
        <f t="shared" si="11"/>
        <v>国家税务总局成都高新技术产业开发区税务局</v>
      </c>
      <c r="G92" s="9" t="str">
        <f t="shared" si="11"/>
        <v>4402235009100123919中国工商银行成都高新城南支行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300</v>
      </c>
      <c r="L114" s="9"/>
      <c r="M114" s="20"/>
      <c r="N114" s="16"/>
      <c r="O114" s="16"/>
      <c r="P114" s="9"/>
      <c r="Q114" s="9"/>
      <c r="R114" s="22">
        <f>R92+R70+R48+R26+R4</f>
        <v>2.11</v>
      </c>
      <c r="S114" s="9"/>
      <c r="T114" s="9"/>
      <c r="U114" s="9"/>
      <c r="V114" s="9"/>
      <c r="W114" s="9"/>
      <c r="X114" s="9"/>
      <c r="Y114" s="9">
        <f>Y92+Y70+Y48+Y26++Y4</f>
        <v>2.11</v>
      </c>
      <c r="Z114" s="9"/>
      <c r="AA114" s="9"/>
      <c r="AB114" s="9"/>
    </row>
    <row r="115" spans="1:28">
      <c r="I115" t="s">
        <v>49</v>
      </c>
      <c r="K115">
        <f>IF(K114&gt;3000,K116,K114)</f>
        <v>300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116"/>
  <sheetViews>
    <sheetView zoomScale="70" zoomScaleNormal="70" workbookViewId="0">
      <pane ySplit="3" topLeftCell="A4" activePane="bottomLeft" state="frozen"/>
      <selection pane="bottomLeft" activeCell="J8" sqref="J8"/>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四川泰猷科技有限公司审计明细表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144</v>
      </c>
      <c r="C4" s="9" t="s">
        <v>32</v>
      </c>
      <c r="D4" s="9" t="s">
        <v>145</v>
      </c>
      <c r="E4" s="9" t="s">
        <v>146</v>
      </c>
      <c r="F4" s="9" t="s">
        <v>69</v>
      </c>
      <c r="G4" s="9" t="s">
        <v>147</v>
      </c>
      <c r="H4" s="9" t="s">
        <v>37</v>
      </c>
      <c r="I4" s="9" t="s">
        <v>148</v>
      </c>
      <c r="J4" s="9" t="s">
        <v>58</v>
      </c>
      <c r="K4" s="9">
        <v>300</v>
      </c>
      <c r="L4" s="9" t="s">
        <v>149</v>
      </c>
      <c r="M4" s="20" t="s">
        <v>150</v>
      </c>
      <c r="N4" s="16">
        <v>44893</v>
      </c>
      <c r="O4" s="16">
        <v>45257</v>
      </c>
      <c r="P4" s="9">
        <f>P16-N4</f>
        <v>364</v>
      </c>
      <c r="Q4" s="22">
        <f>SUM(Q5:Q25)</f>
        <v>11.77</v>
      </c>
      <c r="R4" s="22">
        <v>2.99</v>
      </c>
      <c r="S4" s="9"/>
      <c r="T4" s="22">
        <f>SUM(T5:T25)</f>
        <v>11.86</v>
      </c>
      <c r="U4" s="23">
        <v>3.9E-2</v>
      </c>
      <c r="V4" s="16"/>
      <c r="W4" s="9" t="s">
        <v>42</v>
      </c>
      <c r="X4" s="24">
        <v>0.01</v>
      </c>
      <c r="Y4" s="9">
        <v>0</v>
      </c>
      <c r="Z4" s="22">
        <f>R4-Y4</f>
        <v>2.99</v>
      </c>
      <c r="AA4" s="22" t="s">
        <v>151</v>
      </c>
      <c r="AB4" s="9" t="s">
        <v>61</v>
      </c>
      <c r="AD4" s="28">
        <f>(O4-N4+1)*K4*X4/365</f>
        <v>3</v>
      </c>
    </row>
    <row r="5" spans="1:30" s="2" customFormat="1">
      <c r="A5" s="10"/>
      <c r="B5" s="10"/>
      <c r="C5" s="10"/>
      <c r="D5" s="10"/>
      <c r="E5" s="10"/>
      <c r="F5" s="10"/>
      <c r="G5" s="10"/>
      <c r="H5" s="10"/>
      <c r="I5" s="10"/>
      <c r="J5" s="10"/>
      <c r="K5" s="10"/>
      <c r="L5" s="10"/>
      <c r="M5" s="17"/>
      <c r="N5" s="18"/>
      <c r="O5" s="18"/>
      <c r="P5" s="19">
        <v>44916</v>
      </c>
      <c r="Q5" s="25">
        <v>0.72</v>
      </c>
      <c r="R5" s="10"/>
      <c r="S5" s="19">
        <f>P5</f>
        <v>44916</v>
      </c>
      <c r="T5" s="25">
        <f>(S5-N4)/360*$U$4*$K$4</f>
        <v>0.75</v>
      </c>
      <c r="U5" s="25">
        <f>T5-Q5</f>
        <v>0.03</v>
      </c>
      <c r="V5" s="18"/>
      <c r="W5" s="10"/>
      <c r="X5" s="10"/>
      <c r="Y5" s="10"/>
      <c r="Z5" s="10"/>
      <c r="AA5" s="10"/>
      <c r="AB5" s="10"/>
    </row>
    <row r="6" spans="1:30" s="2" customFormat="1">
      <c r="A6" s="10"/>
      <c r="B6" s="10"/>
      <c r="C6" s="10"/>
      <c r="D6" s="10"/>
      <c r="E6" s="10"/>
      <c r="F6" s="10"/>
      <c r="G6" s="10"/>
      <c r="H6" s="10"/>
      <c r="I6" s="10"/>
      <c r="J6" s="10"/>
      <c r="K6" s="10"/>
      <c r="L6" s="10"/>
      <c r="M6" s="17"/>
      <c r="N6" s="18"/>
      <c r="O6" s="18"/>
      <c r="P6" s="19">
        <v>44947</v>
      </c>
      <c r="Q6" s="25">
        <v>1.01</v>
      </c>
      <c r="R6" s="10"/>
      <c r="S6" s="19">
        <f t="shared" ref="S6:S16" si="0">P6</f>
        <v>44947</v>
      </c>
      <c r="T6" s="25">
        <f>(S6-S5)*$K$4*$U$4/360</f>
        <v>1.01</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44978</v>
      </c>
      <c r="Q7" s="25">
        <v>1.01</v>
      </c>
      <c r="R7" s="10"/>
      <c r="S7" s="19">
        <f t="shared" si="0"/>
        <v>44978</v>
      </c>
      <c r="T7" s="25">
        <f t="shared" ref="T7:T16" si="1">(S7-S6)*$K$4*$U$4/360</f>
        <v>1.01</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45006</v>
      </c>
      <c r="Q8" s="25">
        <v>0.91</v>
      </c>
      <c r="R8" s="10"/>
      <c r="S8" s="19">
        <f t="shared" si="0"/>
        <v>45006</v>
      </c>
      <c r="T8" s="25">
        <f t="shared" si="1"/>
        <v>0.91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45037</v>
      </c>
      <c r="Q9" s="25">
        <v>1.01</v>
      </c>
      <c r="R9" s="10"/>
      <c r="S9" s="19">
        <f t="shared" si="0"/>
        <v>45037</v>
      </c>
      <c r="T9" s="25">
        <f t="shared" si="1"/>
        <v>1.01</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45067</v>
      </c>
      <c r="Q10" s="25">
        <v>0.96</v>
      </c>
      <c r="R10" s="10"/>
      <c r="S10" s="19">
        <f t="shared" si="0"/>
        <v>45067</v>
      </c>
      <c r="T10" s="25">
        <f t="shared" si="1"/>
        <v>0.98</v>
      </c>
      <c r="U10" s="25">
        <f t="shared" si="2"/>
        <v>0.02</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45098</v>
      </c>
      <c r="Q11" s="25">
        <v>1.01</v>
      </c>
      <c r="R11" s="10"/>
      <c r="S11" s="19">
        <f t="shared" si="0"/>
        <v>45098</v>
      </c>
      <c r="T11" s="25">
        <f t="shared" si="1"/>
        <v>1.01</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45128</v>
      </c>
      <c r="Q12" s="25">
        <v>0.96</v>
      </c>
      <c r="R12" s="10"/>
      <c r="S12" s="19">
        <f t="shared" si="0"/>
        <v>45128</v>
      </c>
      <c r="T12" s="25">
        <f t="shared" si="1"/>
        <v>0.98</v>
      </c>
      <c r="U12" s="25">
        <f t="shared" si="2"/>
        <v>0.02</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45159</v>
      </c>
      <c r="Q13" s="25">
        <v>1.01</v>
      </c>
      <c r="R13" s="10"/>
      <c r="S13" s="19">
        <f t="shared" si="0"/>
        <v>45159</v>
      </c>
      <c r="T13" s="25">
        <f t="shared" si="1"/>
        <v>1.01</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45190</v>
      </c>
      <c r="Q14" s="25">
        <v>1.01</v>
      </c>
      <c r="R14" s="10"/>
      <c r="S14" s="19">
        <f t="shared" si="0"/>
        <v>45190</v>
      </c>
      <c r="T14" s="25">
        <f t="shared" si="1"/>
        <v>1.01</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45220</v>
      </c>
      <c r="Q15" s="25">
        <v>0.96</v>
      </c>
      <c r="R15" s="10"/>
      <c r="S15" s="19">
        <f t="shared" si="0"/>
        <v>45220</v>
      </c>
      <c r="T15" s="25">
        <f t="shared" si="1"/>
        <v>0.98</v>
      </c>
      <c r="U15" s="25">
        <f t="shared" si="2"/>
        <v>0.02</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45257</v>
      </c>
      <c r="Q16" s="25">
        <v>1.2</v>
      </c>
      <c r="R16" s="10"/>
      <c r="S16" s="19">
        <f t="shared" si="0"/>
        <v>45257</v>
      </c>
      <c r="T16" s="25">
        <f t="shared" si="1"/>
        <v>1.2</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hidden="1">
      <c r="A26" s="9">
        <v>2</v>
      </c>
      <c r="B26" s="9" t="str">
        <f>B4</f>
        <v>四川泰猷科技有限公司</v>
      </c>
      <c r="C26" s="9" t="str">
        <f t="shared" ref="C26:G26" si="3">C4</f>
        <v>成都高新技术产业开发区市场监督管理局</v>
      </c>
      <c r="D26" s="9" t="str">
        <f t="shared" si="3"/>
        <v>91510100MA61RR7JXK</v>
      </c>
      <c r="E26" s="9" t="str">
        <f t="shared" si="3"/>
        <v>有限责任公司</v>
      </c>
      <c r="F26" s="9" t="str">
        <f t="shared" si="3"/>
        <v>高新区税务局</v>
      </c>
      <c r="G26" s="9" t="str">
        <f t="shared" si="3"/>
        <v>51050142624200000036(中国建设银行股份有限公司成都天府新谷支行)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四川泰猷科技有限公司</v>
      </c>
      <c r="C48" s="9" t="str">
        <f t="shared" ref="C48:G48" si="7">C26</f>
        <v>成都高新技术产业开发区市场监督管理局</v>
      </c>
      <c r="D48" s="9" t="str">
        <f t="shared" si="7"/>
        <v>91510100MA61RR7JXK</v>
      </c>
      <c r="E48" s="9" t="str">
        <f t="shared" si="7"/>
        <v>有限责任公司</v>
      </c>
      <c r="F48" s="9" t="str">
        <f t="shared" si="7"/>
        <v>高新区税务局</v>
      </c>
      <c r="G48" s="9" t="str">
        <f t="shared" si="7"/>
        <v>51050142624200000036(中国建设银行股份有限公司成都天府新谷支行)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四川泰猷科技有限公司</v>
      </c>
      <c r="C70" s="9" t="str">
        <f t="shared" ref="C70:G70" si="10">C48</f>
        <v>成都高新技术产业开发区市场监督管理局</v>
      </c>
      <c r="D70" s="9" t="str">
        <f t="shared" si="10"/>
        <v>91510100MA61RR7JXK</v>
      </c>
      <c r="E70" s="9" t="str">
        <f t="shared" si="10"/>
        <v>有限责任公司</v>
      </c>
      <c r="F70" s="9" t="str">
        <f t="shared" si="10"/>
        <v>高新区税务局</v>
      </c>
      <c r="G70" s="9" t="str">
        <f t="shared" si="10"/>
        <v>51050142624200000036(中国建设银行股份有限公司成都天府新谷支行)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四川泰猷科技有限公司</v>
      </c>
      <c r="C92" s="9" t="str">
        <f t="shared" ref="C92:G92" si="11">C70</f>
        <v>成都高新技术产业开发区市场监督管理局</v>
      </c>
      <c r="D92" s="9" t="str">
        <f t="shared" si="11"/>
        <v>91510100MA61RR7JXK</v>
      </c>
      <c r="E92" s="9" t="str">
        <f t="shared" si="11"/>
        <v>有限责任公司</v>
      </c>
      <c r="F92" s="9" t="str">
        <f t="shared" si="11"/>
        <v>高新区税务局</v>
      </c>
      <c r="G92" s="9" t="str">
        <f t="shared" si="11"/>
        <v>51050142624200000036(中国建设银行股份有限公司成都天府新谷支行)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300</v>
      </c>
      <c r="L114" s="9"/>
      <c r="M114" s="20"/>
      <c r="N114" s="16"/>
      <c r="O114" s="16"/>
      <c r="P114" s="9"/>
      <c r="Q114" s="9"/>
      <c r="R114" s="9">
        <f>R92+R70+R48+R26++R4</f>
        <v>2.99</v>
      </c>
      <c r="S114" s="9"/>
      <c r="T114" s="9"/>
      <c r="U114" s="9"/>
      <c r="V114" s="9"/>
      <c r="W114" s="9"/>
      <c r="X114" s="9"/>
      <c r="Y114" s="9">
        <f>Y92+Y70+Y48+Y26++Y4</f>
        <v>0</v>
      </c>
      <c r="Z114" s="9"/>
      <c r="AA114" s="9"/>
      <c r="AB114" s="9"/>
    </row>
    <row r="115" spans="1:28">
      <c r="I115" t="s">
        <v>49</v>
      </c>
      <c r="K115">
        <f>IF(K114&gt;3000,K116,K114)</f>
        <v>300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D116"/>
  <sheetViews>
    <sheetView zoomScale="90" zoomScaleNormal="90" workbookViewId="0">
      <pane ySplit="3" topLeftCell="A4" activePane="bottomLeft" state="frozen"/>
      <selection pane="bottomLeft" activeCell="M4" sqref="M4"/>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成都赛肯思创享生活景观设计股份有限公司审计明细表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84">
      <c r="A4" s="43">
        <v>1</v>
      </c>
      <c r="B4" s="43" t="s">
        <v>646</v>
      </c>
      <c r="C4" s="43" t="s">
        <v>1005</v>
      </c>
      <c r="D4" s="43" t="s">
        <v>1013</v>
      </c>
      <c r="E4" s="43" t="s">
        <v>78</v>
      </c>
      <c r="F4" s="43" t="s">
        <v>1008</v>
      </c>
      <c r="G4" s="43" t="s">
        <v>1014</v>
      </c>
      <c r="H4" s="71" t="s">
        <v>37</v>
      </c>
      <c r="I4" s="43" t="s">
        <v>72</v>
      </c>
      <c r="J4" s="71" t="s">
        <v>58</v>
      </c>
      <c r="K4" s="71">
        <v>300</v>
      </c>
      <c r="L4" s="43" t="s">
        <v>1015</v>
      </c>
      <c r="M4" s="43" t="s">
        <v>1016</v>
      </c>
      <c r="N4" s="50">
        <v>45285</v>
      </c>
      <c r="O4" s="50">
        <v>45291</v>
      </c>
      <c r="P4" s="43">
        <f>P5-N4</f>
        <v>27</v>
      </c>
      <c r="Q4" s="55">
        <f>SUM(Q5:Q25)</f>
        <v>0.82</v>
      </c>
      <c r="R4" s="55">
        <v>0.06</v>
      </c>
      <c r="S4" s="43"/>
      <c r="T4" s="55">
        <f>SUM(T5:T25)</f>
        <v>0.82</v>
      </c>
      <c r="U4" s="56">
        <v>3.6499999999999998E-2</v>
      </c>
      <c r="V4" s="50"/>
      <c r="W4" s="43" t="s">
        <v>42</v>
      </c>
      <c r="X4" s="57">
        <v>0.01</v>
      </c>
      <c r="Y4" s="43">
        <f>ROUNDDOWN(IF((O4-N4+1)*K4*X4/365&gt;R4,R4,(O4-N4+1)*K4*X4/365),2)</f>
        <v>0.05</v>
      </c>
      <c r="Z4" s="55">
        <f>R4-Y4</f>
        <v>0.01</v>
      </c>
      <c r="AA4" s="55" t="s">
        <v>43</v>
      </c>
      <c r="AB4" s="43" t="s">
        <v>61</v>
      </c>
      <c r="AD4" s="61">
        <f>(O4-N4+1)*K4*X4/365</f>
        <v>5.7500000000000002E-2</v>
      </c>
    </row>
    <row r="5" spans="1:30" s="35" customFormat="1">
      <c r="A5" s="44"/>
      <c r="B5" s="44"/>
      <c r="C5" s="44"/>
      <c r="D5" s="44"/>
      <c r="E5" s="44"/>
      <c r="F5" s="44"/>
      <c r="G5" s="44"/>
      <c r="H5" s="42"/>
      <c r="I5" s="44"/>
      <c r="J5" s="42"/>
      <c r="K5" s="42"/>
      <c r="L5" s="44"/>
      <c r="M5" s="51"/>
      <c r="N5" s="52"/>
      <c r="O5" s="50">
        <v>45647</v>
      </c>
      <c r="P5" s="75">
        <v>45312</v>
      </c>
      <c r="Q5" s="58">
        <v>0.82</v>
      </c>
      <c r="R5" s="44"/>
      <c r="S5" s="53">
        <f>P5</f>
        <v>45312</v>
      </c>
      <c r="T5" s="58">
        <f>(S5-N4)/360*$U$4*$K$4</f>
        <v>0.82</v>
      </c>
      <c r="U5" s="58">
        <f>T5-Q5</f>
        <v>0</v>
      </c>
      <c r="V5" s="52"/>
      <c r="W5" s="44"/>
      <c r="X5" s="44"/>
      <c r="Y5" s="44">
        <f>ROUNDDOWN((V5-N4)*K4*X4/365,2)</f>
        <v>-372.2</v>
      </c>
      <c r="Z5" s="44"/>
      <c r="AA5" s="44"/>
      <c r="AB5" s="44"/>
    </row>
    <row r="6" spans="1:30" s="35" customFormat="1">
      <c r="A6" s="44"/>
      <c r="B6" s="44"/>
      <c r="C6" s="44"/>
      <c r="D6" s="44"/>
      <c r="E6" s="44"/>
      <c r="F6" s="44"/>
      <c r="G6" s="44"/>
      <c r="H6" s="42"/>
      <c r="I6" s="44"/>
      <c r="J6" s="42"/>
      <c r="K6" s="42"/>
      <c r="L6" s="44"/>
      <c r="M6" s="51"/>
      <c r="N6" s="52"/>
      <c r="O6" s="52"/>
      <c r="P6" s="75"/>
      <c r="Q6" s="58"/>
      <c r="R6" s="44"/>
      <c r="S6" s="53"/>
      <c r="T6" s="58"/>
      <c r="U6" s="58"/>
      <c r="V6" s="44"/>
      <c r="W6" s="44"/>
      <c r="X6" s="44"/>
      <c r="Y6" s="44"/>
      <c r="Z6" s="44"/>
      <c r="AA6" s="44"/>
      <c r="AB6" s="44"/>
    </row>
    <row r="7" spans="1:30" s="35" customFormat="1">
      <c r="A7" s="44"/>
      <c r="B7" s="44"/>
      <c r="C7" s="44"/>
      <c r="D7" s="44"/>
      <c r="E7" s="44"/>
      <c r="F7" s="44"/>
      <c r="G7" s="44"/>
      <c r="H7" s="42"/>
      <c r="I7" s="44"/>
      <c r="J7" s="42"/>
      <c r="K7" s="42"/>
      <c r="L7" s="44"/>
      <c r="M7" s="51"/>
      <c r="N7" s="52"/>
      <c r="O7" s="52"/>
      <c r="P7" s="75"/>
      <c r="Q7" s="58"/>
      <c r="R7" s="44"/>
      <c r="S7" s="53"/>
      <c r="T7" s="58"/>
      <c r="U7" s="58"/>
      <c r="V7" s="44"/>
      <c r="W7" s="44"/>
      <c r="X7" s="44"/>
      <c r="Y7" s="44"/>
      <c r="Z7" s="44"/>
      <c r="AA7" s="44"/>
      <c r="AB7" s="44"/>
    </row>
    <row r="8" spans="1:30" s="35" customFormat="1">
      <c r="A8" s="44"/>
      <c r="B8" s="44"/>
      <c r="C8" s="44"/>
      <c r="D8" s="44"/>
      <c r="E8" s="44"/>
      <c r="F8" s="44"/>
      <c r="G8" s="44"/>
      <c r="H8" s="42"/>
      <c r="I8" s="44"/>
      <c r="J8" s="42"/>
      <c r="K8" s="42"/>
      <c r="L8" s="44"/>
      <c r="M8" s="51"/>
      <c r="N8" s="52"/>
      <c r="O8" s="52"/>
      <c r="P8" s="75"/>
      <c r="Q8" s="58"/>
      <c r="R8" s="44"/>
      <c r="S8" s="53"/>
      <c r="T8" s="58"/>
      <c r="U8" s="58"/>
      <c r="V8" s="44"/>
      <c r="W8" s="44"/>
      <c r="X8" s="44"/>
      <c r="Y8" s="44"/>
      <c r="Z8" s="44"/>
      <c r="AA8" s="44"/>
      <c r="AB8" s="44"/>
    </row>
    <row r="9" spans="1:30" s="35" customFormat="1">
      <c r="A9" s="44"/>
      <c r="B9" s="44"/>
      <c r="C9" s="44"/>
      <c r="D9" s="44"/>
      <c r="E9" s="44"/>
      <c r="F9" s="44"/>
      <c r="G9" s="44"/>
      <c r="H9" s="42"/>
      <c r="I9" s="44"/>
      <c r="J9" s="42"/>
      <c r="K9" s="42"/>
      <c r="L9" s="44"/>
      <c r="M9" s="51"/>
      <c r="N9" s="52"/>
      <c r="O9" s="52"/>
      <c r="P9" s="75"/>
      <c r="Q9" s="58"/>
      <c r="R9" s="44"/>
      <c r="S9" s="53"/>
      <c r="T9" s="58"/>
      <c r="U9" s="58"/>
      <c r="V9" s="44"/>
      <c r="W9" s="44"/>
      <c r="X9" s="44"/>
      <c r="Y9" s="44"/>
      <c r="Z9" s="44"/>
      <c r="AA9" s="44"/>
      <c r="AB9" s="44"/>
    </row>
    <row r="10" spans="1:30" s="35" customFormat="1">
      <c r="A10" s="44"/>
      <c r="B10" s="44"/>
      <c r="C10" s="44"/>
      <c r="D10" s="44"/>
      <c r="E10" s="44"/>
      <c r="F10" s="44"/>
      <c r="G10" s="44"/>
      <c r="H10" s="42"/>
      <c r="I10" s="44"/>
      <c r="J10" s="42"/>
      <c r="K10" s="42"/>
      <c r="L10" s="44"/>
      <c r="M10" s="51"/>
      <c r="N10" s="52"/>
      <c r="O10" s="52"/>
      <c r="P10" s="75"/>
      <c r="Q10" s="58"/>
      <c r="R10" s="44"/>
      <c r="S10" s="53"/>
      <c r="T10" s="58"/>
      <c r="U10" s="58"/>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c r="Q11" s="58"/>
      <c r="R11" s="44"/>
      <c r="S11" s="53"/>
      <c r="T11" s="58"/>
      <c r="U11" s="58"/>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c r="Q12" s="58"/>
      <c r="R12" s="44"/>
      <c r="S12" s="53"/>
      <c r="T12" s="58"/>
      <c r="U12" s="58"/>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c r="Q13" s="58"/>
      <c r="R13" s="44"/>
      <c r="S13" s="53"/>
      <c r="T13" s="58"/>
      <c r="U13" s="58"/>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c r="Q14" s="58"/>
      <c r="R14" s="44"/>
      <c r="S14" s="53"/>
      <c r="T14" s="58"/>
      <c r="U14" s="58"/>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c r="Q15" s="58"/>
      <c r="R15" s="44"/>
      <c r="S15" s="53"/>
      <c r="T15" s="58"/>
      <c r="U15" s="58"/>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c r="Q16" s="58"/>
      <c r="R16" s="44"/>
      <c r="S16" s="53"/>
      <c r="T16" s="58"/>
      <c r="U16" s="58"/>
      <c r="V16" s="44"/>
      <c r="W16" s="44"/>
      <c r="X16" s="44"/>
      <c r="Y16" s="44"/>
      <c r="Z16" s="44"/>
      <c r="AA16" s="44"/>
      <c r="AB16" s="44"/>
    </row>
    <row r="17" spans="1:28" s="35" customFormat="1">
      <c r="A17" s="44"/>
      <c r="B17" s="44"/>
      <c r="C17" s="44"/>
      <c r="D17" s="44"/>
      <c r="E17" s="44"/>
      <c r="F17" s="44"/>
      <c r="G17" s="44"/>
      <c r="H17" s="42"/>
      <c r="I17" s="44"/>
      <c r="J17" s="42"/>
      <c r="K17" s="42"/>
      <c r="L17" s="44"/>
      <c r="M17" s="51"/>
      <c r="N17" s="52"/>
      <c r="O17" s="52"/>
      <c r="P17" s="75"/>
      <c r="Q17" s="58"/>
      <c r="R17" s="44"/>
      <c r="S17" s="53"/>
      <c r="T17" s="58"/>
      <c r="U17" s="58"/>
      <c r="V17" s="44"/>
      <c r="W17" s="44"/>
      <c r="X17" s="44"/>
      <c r="Y17" s="44"/>
      <c r="Z17" s="44"/>
      <c r="AA17" s="44"/>
      <c r="AB17" s="44"/>
    </row>
    <row r="18" spans="1:28" s="35" customFormat="1">
      <c r="A18" s="44"/>
      <c r="B18" s="44"/>
      <c r="C18" s="44"/>
      <c r="D18" s="44"/>
      <c r="E18" s="44"/>
      <c r="F18" s="44"/>
      <c r="G18" s="44"/>
      <c r="H18" s="42"/>
      <c r="I18" s="44"/>
      <c r="J18" s="42"/>
      <c r="K18" s="42"/>
      <c r="L18" s="44"/>
      <c r="M18" s="51"/>
      <c r="N18" s="52"/>
      <c r="O18" s="52"/>
      <c r="P18" s="75"/>
      <c r="Q18" s="58"/>
      <c r="R18" s="44"/>
      <c r="S18" s="53"/>
      <c r="T18" s="58"/>
      <c r="U18" s="58"/>
      <c r="V18" s="44"/>
      <c r="W18" s="44"/>
      <c r="X18" s="44"/>
      <c r="Y18" s="44"/>
      <c r="Z18" s="44"/>
      <c r="AA18" s="44"/>
      <c r="AB18" s="44"/>
    </row>
    <row r="19" spans="1:28" s="35" customFormat="1">
      <c r="A19" s="44"/>
      <c r="B19" s="44"/>
      <c r="C19" s="44"/>
      <c r="D19" s="44"/>
      <c r="E19" s="44"/>
      <c r="F19" s="44"/>
      <c r="G19" s="44"/>
      <c r="H19" s="42"/>
      <c r="I19" s="44"/>
      <c r="J19" s="42"/>
      <c r="K19" s="42"/>
      <c r="L19" s="44"/>
      <c r="M19" s="51"/>
      <c r="N19" s="52"/>
      <c r="O19" s="52"/>
      <c r="P19" s="75"/>
      <c r="Q19" s="58"/>
      <c r="R19" s="44"/>
      <c r="S19" s="53"/>
      <c r="T19" s="58"/>
      <c r="U19" s="58"/>
      <c r="V19" s="44"/>
      <c r="W19" s="44"/>
      <c r="X19" s="44"/>
      <c r="Y19" s="44"/>
      <c r="Z19" s="44"/>
      <c r="AA19" s="44"/>
      <c r="AB19" s="44"/>
    </row>
    <row r="20" spans="1:28" s="35" customFormat="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c r="B26" s="43"/>
      <c r="C26" s="43"/>
      <c r="D26" s="43"/>
      <c r="E26" s="43"/>
      <c r="F26" s="43"/>
      <c r="G26" s="43"/>
      <c r="H26" s="71"/>
      <c r="I26" s="43"/>
      <c r="J26" s="71"/>
      <c r="K26" s="71"/>
      <c r="L26" s="43"/>
      <c r="M26" s="49"/>
      <c r="N26" s="50"/>
      <c r="O26" s="50"/>
      <c r="P26" s="76"/>
      <c r="Q26" s="55"/>
      <c r="R26" s="43"/>
      <c r="S26" s="43"/>
      <c r="T26" s="43"/>
      <c r="U26" s="56"/>
      <c r="V26" s="50"/>
      <c r="W26" s="43"/>
      <c r="X26" s="57"/>
      <c r="Y26" s="43"/>
      <c r="Z26" s="43"/>
      <c r="AA26" s="43"/>
      <c r="AB26" s="43"/>
    </row>
    <row r="27" spans="1:28" s="35" customFormat="1">
      <c r="A27" s="44"/>
      <c r="B27" s="44"/>
      <c r="C27" s="44"/>
      <c r="D27" s="44"/>
      <c r="E27" s="44"/>
      <c r="F27" s="44"/>
      <c r="G27" s="44"/>
      <c r="H27" s="42"/>
      <c r="I27" s="44"/>
      <c r="J27" s="42"/>
      <c r="K27" s="42"/>
      <c r="L27" s="44"/>
      <c r="M27" s="51"/>
      <c r="N27" s="52"/>
      <c r="O27" s="52"/>
      <c r="P27" s="75"/>
      <c r="Q27" s="58"/>
      <c r="R27" s="44"/>
      <c r="S27" s="53"/>
      <c r="T27" s="58">
        <f>(S27-N26)/360*$U$26*$K$26</f>
        <v>0</v>
      </c>
      <c r="U27" s="58">
        <f>T27-Q27</f>
        <v>0</v>
      </c>
      <c r="V27" s="52"/>
      <c r="W27" s="44"/>
      <c r="X27" s="44"/>
      <c r="Y27" s="62">
        <f>ROUNDUP((V27-N26)*K26*X26/365,2)</f>
        <v>0</v>
      </c>
      <c r="Z27" s="44"/>
      <c r="AA27" s="44"/>
      <c r="AB27" s="44"/>
    </row>
    <row r="28" spans="1:28" s="35" customFormat="1">
      <c r="A28" s="44"/>
      <c r="B28" s="44"/>
      <c r="C28" s="44"/>
      <c r="D28" s="44"/>
      <c r="E28" s="44"/>
      <c r="F28" s="44"/>
      <c r="G28" s="44"/>
      <c r="H28" s="42"/>
      <c r="I28" s="44"/>
      <c r="J28" s="42"/>
      <c r="K28" s="42"/>
      <c r="L28" s="44"/>
      <c r="M28" s="51"/>
      <c r="N28" s="52"/>
      <c r="O28" s="52"/>
      <c r="P28" s="75"/>
      <c r="Q28" s="58"/>
      <c r="R28" s="44"/>
      <c r="S28" s="53"/>
      <c r="T28" s="58">
        <f>(S28-S27)*$U$26*$K$26/360</f>
        <v>0</v>
      </c>
      <c r="U28" s="58">
        <f>T28-Q28</f>
        <v>0</v>
      </c>
      <c r="V28" s="44"/>
      <c r="W28" s="44"/>
      <c r="X28" s="44"/>
      <c r="Y28" s="62">
        <f>ROUNDUP((O26-V27+1)*(K26-W27)*X26/365,2)</f>
        <v>0</v>
      </c>
      <c r="Z28" s="44"/>
      <c r="AA28" s="44"/>
      <c r="AB28" s="44"/>
    </row>
    <row r="29" spans="1:28" s="35" customFormat="1">
      <c r="A29" s="44"/>
      <c r="B29" s="44"/>
      <c r="C29" s="44"/>
      <c r="D29" s="44"/>
      <c r="E29" s="44"/>
      <c r="F29" s="44"/>
      <c r="G29" s="44"/>
      <c r="H29" s="42"/>
      <c r="I29" s="44"/>
      <c r="J29" s="42"/>
      <c r="K29" s="42"/>
      <c r="L29" s="44"/>
      <c r="M29" s="51"/>
      <c r="N29" s="52"/>
      <c r="O29" s="52"/>
      <c r="P29" s="75"/>
      <c r="Q29" s="58"/>
      <c r="R29" s="44"/>
      <c r="S29" s="53"/>
      <c r="T29" s="58">
        <f>(S29-S28)*$U$26*$K$26/360</f>
        <v>0</v>
      </c>
      <c r="U29" s="58">
        <f>T29-Q29</f>
        <v>0</v>
      </c>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c r="Q30" s="58"/>
      <c r="R30" s="44"/>
      <c r="S30" s="53"/>
      <c r="T30" s="58">
        <f>(S30-S29)*$U$26*$K$26/360</f>
        <v>0</v>
      </c>
      <c r="U30" s="58">
        <f>T30-Q30</f>
        <v>0</v>
      </c>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c r="Q31" s="58"/>
      <c r="R31" s="44"/>
      <c r="S31" s="53"/>
      <c r="T31" s="58">
        <f>(S31-S30)*$U$26*$K$26/360</f>
        <v>0</v>
      </c>
      <c r="U31" s="58">
        <f>T31-Q31</f>
        <v>0</v>
      </c>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c r="Q32" s="58"/>
      <c r="R32" s="44"/>
      <c r="S32" s="53"/>
      <c r="T32" s="58"/>
      <c r="U32" s="58"/>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c r="Q33" s="58"/>
      <c r="R33" s="44"/>
      <c r="S33" s="53"/>
      <c r="T33" s="58"/>
      <c r="U33" s="58"/>
      <c r="V33" s="44"/>
      <c r="W33" s="44"/>
      <c r="X33" s="44"/>
      <c r="Y33" s="44"/>
      <c r="Z33" s="44"/>
      <c r="AA33" s="44"/>
      <c r="AB33" s="44"/>
    </row>
    <row r="34" spans="1:28" s="35" customFormat="1">
      <c r="A34" s="44"/>
      <c r="B34" s="44"/>
      <c r="C34" s="44"/>
      <c r="D34" s="44"/>
      <c r="E34" s="44"/>
      <c r="F34" s="44"/>
      <c r="G34" s="44"/>
      <c r="H34" s="42"/>
      <c r="I34" s="44"/>
      <c r="J34" s="42"/>
      <c r="K34" s="42"/>
      <c r="L34" s="44"/>
      <c r="M34" s="51"/>
      <c r="N34" s="52"/>
      <c r="O34" s="52"/>
      <c r="P34" s="75"/>
      <c r="Q34" s="58"/>
      <c r="R34" s="44"/>
      <c r="S34" s="53"/>
      <c r="T34" s="58"/>
      <c r="U34" s="58"/>
      <c r="V34" s="44"/>
      <c r="W34" s="44"/>
      <c r="X34" s="44"/>
      <c r="Y34" s="44"/>
      <c r="Z34" s="44"/>
      <c r="AA34" s="44"/>
      <c r="AB34" s="44"/>
    </row>
    <row r="35" spans="1:28" s="35" customFormat="1">
      <c r="A35" s="44"/>
      <c r="B35" s="44"/>
      <c r="C35" s="44"/>
      <c r="D35" s="44"/>
      <c r="E35" s="44"/>
      <c r="F35" s="44"/>
      <c r="G35" s="44"/>
      <c r="H35" s="42"/>
      <c r="I35" s="44"/>
      <c r="J35" s="42"/>
      <c r="K35" s="42"/>
      <c r="L35" s="44"/>
      <c r="M35" s="51"/>
      <c r="N35" s="52"/>
      <c r="O35" s="52"/>
      <c r="P35" s="75"/>
      <c r="Q35" s="58"/>
      <c r="R35" s="44"/>
      <c r="S35" s="53"/>
      <c r="T35" s="58"/>
      <c r="U35" s="58"/>
      <c r="V35" s="44"/>
      <c r="W35" s="44"/>
      <c r="X35" s="44"/>
      <c r="Y35" s="44"/>
      <c r="Z35" s="44"/>
      <c r="AA35" s="44"/>
      <c r="AB35" s="44"/>
    </row>
    <row r="36" spans="1:28" s="35" customFormat="1">
      <c r="A36" s="44"/>
      <c r="B36" s="44"/>
      <c r="C36" s="44"/>
      <c r="D36" s="44"/>
      <c r="E36" s="44"/>
      <c r="F36" s="44"/>
      <c r="G36" s="44"/>
      <c r="H36" s="42"/>
      <c r="I36" s="44"/>
      <c r="J36" s="42"/>
      <c r="K36" s="42"/>
      <c r="L36" s="44"/>
      <c r="M36" s="51"/>
      <c r="N36" s="52"/>
      <c r="O36" s="52"/>
      <c r="P36" s="75"/>
      <c r="Q36" s="58"/>
      <c r="R36" s="44"/>
      <c r="S36" s="53"/>
      <c r="T36" s="58"/>
      <c r="U36" s="58"/>
      <c r="V36" s="44"/>
      <c r="W36" s="44"/>
      <c r="X36" s="44"/>
      <c r="Y36" s="44"/>
      <c r="Z36" s="44"/>
      <c r="AA36" s="44"/>
      <c r="AB36" s="44"/>
    </row>
    <row r="37" spans="1:28" s="35" customFormat="1">
      <c r="A37" s="44"/>
      <c r="B37" s="44"/>
      <c r="C37" s="44"/>
      <c r="D37" s="44"/>
      <c r="E37" s="44"/>
      <c r="F37" s="44"/>
      <c r="G37" s="44"/>
      <c r="H37" s="42"/>
      <c r="I37" s="44"/>
      <c r="J37" s="42"/>
      <c r="K37" s="42"/>
      <c r="L37" s="44"/>
      <c r="M37" s="51"/>
      <c r="N37" s="52"/>
      <c r="O37" s="52"/>
      <c r="P37" s="75"/>
      <c r="Q37" s="58"/>
      <c r="R37" s="44"/>
      <c r="S37" s="53"/>
      <c r="T37" s="58"/>
      <c r="U37" s="58"/>
      <c r="V37" s="44"/>
      <c r="W37" s="44"/>
      <c r="X37" s="44"/>
      <c r="Y37" s="44"/>
      <c r="Z37" s="44"/>
      <c r="AA37" s="44"/>
      <c r="AB37" s="44"/>
    </row>
    <row r="38" spans="1:28" s="35" customFormat="1">
      <c r="A38" s="44"/>
      <c r="B38" s="44"/>
      <c r="C38" s="44"/>
      <c r="D38" s="44"/>
      <c r="E38" s="44"/>
      <c r="F38" s="44"/>
      <c r="G38" s="44"/>
      <c r="H38" s="42"/>
      <c r="I38" s="44"/>
      <c r="J38" s="42"/>
      <c r="K38" s="42"/>
      <c r="L38" s="44"/>
      <c r="M38" s="51"/>
      <c r="N38" s="52"/>
      <c r="O38" s="52"/>
      <c r="P38" s="75"/>
      <c r="Q38" s="58"/>
      <c r="R38" s="44"/>
      <c r="S38" s="53"/>
      <c r="T38" s="58"/>
      <c r="U38" s="58"/>
      <c r="V38" s="44"/>
      <c r="W38" s="44"/>
      <c r="X38" s="44"/>
      <c r="Y38" s="44"/>
      <c r="Z38" s="44"/>
      <c r="AA38" s="44"/>
      <c r="AB38" s="44"/>
    </row>
    <row r="39" spans="1:28" s="35" customFormat="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t="56">
      <c r="A48" s="43">
        <v>3</v>
      </c>
      <c r="B48" s="43">
        <f t="shared" ref="B48:G48" si="0">B26</f>
        <v>0</v>
      </c>
      <c r="C48" s="43">
        <f t="shared" si="0"/>
        <v>0</v>
      </c>
      <c r="D48" s="43">
        <f t="shared" si="0"/>
        <v>0</v>
      </c>
      <c r="E48" s="43">
        <f t="shared" si="0"/>
        <v>0</v>
      </c>
      <c r="F48" s="43">
        <f t="shared" si="0"/>
        <v>0</v>
      </c>
      <c r="G48" s="43">
        <f t="shared" si="0"/>
        <v>0</v>
      </c>
      <c r="H48" s="71" t="s">
        <v>65</v>
      </c>
      <c r="I48" s="43" t="s">
        <v>57</v>
      </c>
      <c r="J48" s="71" t="s">
        <v>66</v>
      </c>
      <c r="K48" s="71"/>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c r="A49" s="44"/>
      <c r="B49" s="44"/>
      <c r="C49" s="44"/>
      <c r="D49" s="44"/>
      <c r="E49" s="44"/>
      <c r="F49" s="44"/>
      <c r="G49" s="44"/>
      <c r="H49" s="42"/>
      <c r="I49" s="44"/>
      <c r="J49" s="42"/>
      <c r="K49" s="42"/>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c r="A50" s="44"/>
      <c r="B50" s="44"/>
      <c r="C50" s="44"/>
      <c r="D50" s="44"/>
      <c r="E50" s="44"/>
      <c r="F50" s="44"/>
      <c r="G50" s="44"/>
      <c r="H50" s="42"/>
      <c r="I50" s="44"/>
      <c r="J50" s="42"/>
      <c r="K50" s="42"/>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c r="A70" s="43">
        <v>4</v>
      </c>
      <c r="B70" s="43">
        <f t="shared" ref="B70:G70" si="1">B48</f>
        <v>0</v>
      </c>
      <c r="C70" s="43">
        <f t="shared" si="1"/>
        <v>0</v>
      </c>
      <c r="D70" s="43">
        <f t="shared" si="1"/>
        <v>0</v>
      </c>
      <c r="E70" s="43">
        <f t="shared" si="1"/>
        <v>0</v>
      </c>
      <c r="F70" s="43">
        <f t="shared" si="1"/>
        <v>0</v>
      </c>
      <c r="G70" s="43">
        <f t="shared" si="1"/>
        <v>0</v>
      </c>
      <c r="H70" s="71"/>
      <c r="I70" s="43"/>
      <c r="J70" s="71"/>
      <c r="K70" s="71"/>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c r="A92" s="43">
        <v>5</v>
      </c>
      <c r="B92" s="43">
        <f t="shared" ref="B92:G92" si="2">B70</f>
        <v>0</v>
      </c>
      <c r="C92" s="43">
        <f t="shared" si="2"/>
        <v>0</v>
      </c>
      <c r="D92" s="43">
        <f t="shared" si="2"/>
        <v>0</v>
      </c>
      <c r="E92" s="43">
        <f t="shared" si="2"/>
        <v>0</v>
      </c>
      <c r="F92" s="43">
        <f t="shared" si="2"/>
        <v>0</v>
      </c>
      <c r="G92" s="43">
        <f t="shared" si="2"/>
        <v>0</v>
      </c>
      <c r="H92" s="71"/>
      <c r="I92" s="43"/>
      <c r="J92" s="71"/>
      <c r="K92" s="71"/>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300</v>
      </c>
      <c r="L114" s="43"/>
      <c r="M114" s="49"/>
      <c r="N114" s="50"/>
      <c r="O114" s="50"/>
      <c r="P114" s="76"/>
      <c r="Q114" s="43"/>
      <c r="R114" s="43">
        <f>R92+R70+R48+R26++R4</f>
        <v>0.06</v>
      </c>
      <c r="S114" s="43"/>
      <c r="T114" s="43"/>
      <c r="U114" s="43"/>
      <c r="V114" s="43"/>
      <c r="W114" s="43"/>
      <c r="X114" s="43"/>
      <c r="Y114" s="43">
        <f>Y92+Y70+Y48+Y26++Y4</f>
        <v>0.05</v>
      </c>
      <c r="Z114" s="43"/>
      <c r="AA114" s="43"/>
      <c r="AB114" s="43"/>
    </row>
    <row r="115" spans="1:28">
      <c r="I115" s="36" t="s">
        <v>49</v>
      </c>
      <c r="K115" s="72">
        <f>IF(K114&gt;3000,K116,K114)</f>
        <v>300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D116"/>
  <sheetViews>
    <sheetView topLeftCell="F1" zoomScale="90" zoomScaleNormal="90" workbookViewId="0">
      <pane ySplit="3" topLeftCell="A4" activePane="bottomLeft" state="frozen"/>
      <selection pane="bottomLeft" activeCell="N26" sqref="N26:AB26"/>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成都锦江晓康之家综合门诊部有限公司审计明细表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70">
      <c r="A4" s="43">
        <v>1</v>
      </c>
      <c r="B4" s="43" t="s">
        <v>627</v>
      </c>
      <c r="C4" s="43" t="s">
        <v>1005</v>
      </c>
      <c r="D4" s="152" t="s">
        <v>1017</v>
      </c>
      <c r="E4" s="43" t="s">
        <v>146</v>
      </c>
      <c r="F4" s="43" t="s">
        <v>1008</v>
      </c>
      <c r="G4" s="43" t="s">
        <v>867</v>
      </c>
      <c r="H4" s="43" t="s">
        <v>156</v>
      </c>
      <c r="I4" s="43" t="s">
        <v>248</v>
      </c>
      <c r="J4" s="43" t="s">
        <v>58</v>
      </c>
      <c r="K4" s="43">
        <v>2000</v>
      </c>
      <c r="L4" s="43" t="s">
        <v>1018</v>
      </c>
      <c r="M4" s="49" t="s">
        <v>1019</v>
      </c>
      <c r="N4" s="50">
        <v>44855</v>
      </c>
      <c r="O4" s="50">
        <v>45218</v>
      </c>
      <c r="P4" s="43">
        <f>P9-N4</f>
        <v>363</v>
      </c>
      <c r="Q4" s="55">
        <f>SUM(Q5:Q25)</f>
        <v>80.66</v>
      </c>
      <c r="R4" s="55">
        <v>39.78</v>
      </c>
      <c r="S4" s="43"/>
      <c r="T4" s="55">
        <f>SUM(T5:T25)</f>
        <v>80.66</v>
      </c>
      <c r="U4" s="56">
        <v>0.04</v>
      </c>
      <c r="V4" s="50"/>
      <c r="W4" s="43" t="s">
        <v>42</v>
      </c>
      <c r="X4" s="57">
        <v>0.02</v>
      </c>
      <c r="Y4" s="43">
        <f>ROUNDDOWN(IF((O4-N4+1)*K4*X4/365&gt;R4,R4,(O4-N4+1)*K4*X4/365),2)</f>
        <v>39.78</v>
      </c>
      <c r="Z4" s="55">
        <f>R4-Y4</f>
        <v>0</v>
      </c>
      <c r="AA4" s="55"/>
      <c r="AB4" s="43" t="s">
        <v>61</v>
      </c>
      <c r="AD4" s="61">
        <f>(O4-N4+1)*K4*X4/365</f>
        <v>39.8904</v>
      </c>
    </row>
    <row r="5" spans="1:30" s="35" customFormat="1">
      <c r="A5" s="44"/>
      <c r="B5" s="44"/>
      <c r="C5" s="44"/>
      <c r="D5" s="44"/>
      <c r="E5" s="44"/>
      <c r="F5" s="44"/>
      <c r="G5" s="44"/>
      <c r="H5" s="44"/>
      <c r="I5" s="44"/>
      <c r="J5" s="44"/>
      <c r="K5" s="44"/>
      <c r="L5" s="44"/>
      <c r="M5" s="51"/>
      <c r="N5" s="52"/>
      <c r="O5" s="52"/>
      <c r="P5" s="75">
        <v>44916</v>
      </c>
      <c r="Q5" s="58">
        <v>13.56</v>
      </c>
      <c r="R5" s="44"/>
      <c r="S5" s="53">
        <f>P5</f>
        <v>44916</v>
      </c>
      <c r="T5" s="58">
        <f>(S5-N4)/360*$U$4*$K$4</f>
        <v>13.56</v>
      </c>
      <c r="U5" s="58">
        <f>T5-Q5</f>
        <v>0</v>
      </c>
      <c r="V5" s="52"/>
      <c r="W5" s="44"/>
      <c r="X5" s="44"/>
      <c r="Y5" s="44">
        <f>ROUNDDOWN((V5-N4)*K4*X4/365,2)</f>
        <v>-4915.6099999999997</v>
      </c>
      <c r="Z5" s="44"/>
      <c r="AA5" s="44"/>
      <c r="AB5" s="44"/>
    </row>
    <row r="6" spans="1:30" s="35" customFormat="1">
      <c r="A6" s="44"/>
      <c r="B6" s="44"/>
      <c r="C6" s="44"/>
      <c r="D6" s="44"/>
      <c r="E6" s="44"/>
      <c r="F6" s="44"/>
      <c r="G6" s="44"/>
      <c r="H6" s="44"/>
      <c r="I6" s="44"/>
      <c r="J6" s="44"/>
      <c r="K6" s="44"/>
      <c r="L6" s="44"/>
      <c r="M6" s="51"/>
      <c r="N6" s="52"/>
      <c r="O6" s="52"/>
      <c r="P6" s="75">
        <v>45006</v>
      </c>
      <c r="Q6" s="58">
        <v>20</v>
      </c>
      <c r="R6" s="44"/>
      <c r="S6" s="53">
        <f>P6</f>
        <v>45006</v>
      </c>
      <c r="T6" s="58">
        <f>(S6-S5)*$K$4*$U$4/360</f>
        <v>20</v>
      </c>
      <c r="U6" s="58">
        <f>T6-Q6</f>
        <v>0</v>
      </c>
      <c r="V6" s="44"/>
      <c r="W6" s="44"/>
      <c r="X6" s="44"/>
      <c r="Y6" s="44"/>
      <c r="Z6" s="44"/>
      <c r="AA6" s="44"/>
      <c r="AB6" s="44"/>
    </row>
    <row r="7" spans="1:30" s="35" customFormat="1">
      <c r="A7" s="44"/>
      <c r="B7" s="44"/>
      <c r="C7" s="44"/>
      <c r="D7" s="44"/>
      <c r="E7" s="44"/>
      <c r="F7" s="44"/>
      <c r="G7" s="44"/>
      <c r="H7" s="44"/>
      <c r="I7" s="44"/>
      <c r="J7" s="44"/>
      <c r="K7" s="44"/>
      <c r="L7" s="44"/>
      <c r="M7" s="51"/>
      <c r="N7" s="52"/>
      <c r="O7" s="52"/>
      <c r="P7" s="75">
        <v>45098</v>
      </c>
      <c r="Q7" s="58">
        <v>20.440000000000001</v>
      </c>
      <c r="R7" s="44"/>
      <c r="S7" s="53">
        <f>P7</f>
        <v>45098</v>
      </c>
      <c r="T7" s="58">
        <f>(S7-S6)*$K$4*$U$4/360</f>
        <v>20.440000000000001</v>
      </c>
      <c r="U7" s="58">
        <f>T7-Q7</f>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45190</v>
      </c>
      <c r="Q8" s="58">
        <v>20.440000000000001</v>
      </c>
      <c r="R8" s="44"/>
      <c r="S8" s="53">
        <f>P8</f>
        <v>45190</v>
      </c>
      <c r="T8" s="58">
        <f>(S8-S7)*$K$4*$U$4/360</f>
        <v>20.440000000000001</v>
      </c>
      <c r="U8" s="58">
        <f>T8-Q8</f>
        <v>0</v>
      </c>
      <c r="V8" s="44"/>
      <c r="W8" s="44"/>
      <c r="X8" s="44"/>
      <c r="Y8" s="44"/>
      <c r="Z8" s="44"/>
      <c r="AA8" s="44"/>
      <c r="AB8" s="44"/>
    </row>
    <row r="9" spans="1:30" s="35" customFormat="1">
      <c r="A9" s="44"/>
      <c r="B9" s="44"/>
      <c r="C9" s="44"/>
      <c r="D9" s="44"/>
      <c r="E9" s="44"/>
      <c r="F9" s="44"/>
      <c r="G9" s="44"/>
      <c r="H9" s="44"/>
      <c r="I9" s="44"/>
      <c r="J9" s="44"/>
      <c r="K9" s="44"/>
      <c r="L9" s="44"/>
      <c r="M9" s="51"/>
      <c r="N9" s="52"/>
      <c r="O9" s="52"/>
      <c r="P9" s="75">
        <v>45218</v>
      </c>
      <c r="Q9" s="58">
        <v>6.22</v>
      </c>
      <c r="R9" s="44"/>
      <c r="S9" s="53">
        <f>P9</f>
        <v>45218</v>
      </c>
      <c r="T9" s="58">
        <f>(S9-S8)*$K$4*$U$4/360</f>
        <v>6.22</v>
      </c>
      <c r="U9" s="58">
        <f>T9-Q9</f>
        <v>0</v>
      </c>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75"/>
      <c r="Q10" s="58"/>
      <c r="R10" s="44"/>
      <c r="S10" s="53"/>
      <c r="T10" s="58"/>
      <c r="U10" s="58"/>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44"/>
      <c r="S11" s="53"/>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30" s="34" customFormat="1" ht="84" customHeight="1">
      <c r="A26" s="43">
        <v>2</v>
      </c>
      <c r="B26" s="43" t="str">
        <f t="shared" ref="B26:G26" si="0">B4</f>
        <v>成都锦江晓康之家综合门诊部有限公司</v>
      </c>
      <c r="C26" s="43" t="str">
        <f t="shared" si="0"/>
        <v>锦江市场监督管理局</v>
      </c>
      <c r="D26" s="152" t="str">
        <f t="shared" si="0"/>
        <v>915101045746047000</v>
      </c>
      <c r="E26" s="43" t="str">
        <f t="shared" si="0"/>
        <v>有限责任公司</v>
      </c>
      <c r="F26" s="43" t="str">
        <f t="shared" si="0"/>
        <v>国家税务总局成都市锦江区税务局</v>
      </c>
      <c r="G26" s="43" t="str">
        <f t="shared" si="0"/>
        <v>51001908608051502125（建行成都新鸿支行）</v>
      </c>
      <c r="H26" s="43" t="s">
        <v>156</v>
      </c>
      <c r="I26" s="43" t="s">
        <v>248</v>
      </c>
      <c r="J26" s="43" t="s">
        <v>58</v>
      </c>
      <c r="K26" s="43">
        <v>1000</v>
      </c>
      <c r="L26" s="43" t="s">
        <v>1018</v>
      </c>
      <c r="M26" s="49" t="s">
        <v>1020</v>
      </c>
      <c r="N26" s="50">
        <v>44910</v>
      </c>
      <c r="O26" s="50">
        <v>45218</v>
      </c>
      <c r="P26" s="43">
        <f>P31-N26</f>
        <v>308</v>
      </c>
      <c r="Q26" s="55">
        <f>SUM(Q27:Q47)</f>
        <v>34.22</v>
      </c>
      <c r="R26" s="43">
        <v>16.88</v>
      </c>
      <c r="S26" s="43"/>
      <c r="T26" s="55">
        <f>ROUNDDOWN(SUM(T27:T47),2)</f>
        <v>34.22</v>
      </c>
      <c r="U26" s="56">
        <v>0.04</v>
      </c>
      <c r="V26" s="50"/>
      <c r="W26" s="43" t="s">
        <v>42</v>
      </c>
      <c r="X26" s="57">
        <v>0.02</v>
      </c>
      <c r="Y26" s="43">
        <f>ROUNDDOWN(IF((O26-N26+1)*K26*X26/365&gt;R26,R26,(O26-N26+1)*K26*X26/365),2)</f>
        <v>16.88</v>
      </c>
      <c r="Z26" s="43">
        <f>R26-Y26</f>
        <v>0</v>
      </c>
      <c r="AA26" s="43"/>
      <c r="AB26" s="43" t="s">
        <v>61</v>
      </c>
      <c r="AD26" s="34">
        <f>(O26-N26+1)*K26*X26/365</f>
        <v>16.931506849315099</v>
      </c>
    </row>
    <row r="27" spans="1:30" s="35" customFormat="1">
      <c r="A27" s="44"/>
      <c r="B27" s="44"/>
      <c r="C27" s="44"/>
      <c r="D27" s="44"/>
      <c r="E27" s="44"/>
      <c r="F27" s="44"/>
      <c r="G27" s="44"/>
      <c r="H27" s="44"/>
      <c r="I27" s="44"/>
      <c r="J27" s="44"/>
      <c r="K27" s="44"/>
      <c r="L27" s="44"/>
      <c r="M27" s="51"/>
      <c r="N27" s="52"/>
      <c r="O27" s="52"/>
      <c r="P27" s="75">
        <v>44916</v>
      </c>
      <c r="Q27" s="58">
        <v>0.67</v>
      </c>
      <c r="R27" s="44"/>
      <c r="S27" s="53">
        <f>P27</f>
        <v>44916</v>
      </c>
      <c r="T27" s="58">
        <f>(S27-N26)/360*$U$26*$K$26</f>
        <v>0.67</v>
      </c>
      <c r="U27" s="58">
        <f>T27-Q27</f>
        <v>0</v>
      </c>
      <c r="V27" s="52"/>
      <c r="W27" s="44"/>
      <c r="X27" s="44"/>
      <c r="Y27" s="62">
        <f>ROUNDUP((V27-N26)*K26*X26/365,2)</f>
        <v>-2460.83</v>
      </c>
      <c r="Z27" s="44"/>
      <c r="AA27" s="44"/>
      <c r="AB27" s="44"/>
    </row>
    <row r="28" spans="1:30" s="35" customFormat="1">
      <c r="A28" s="44"/>
      <c r="B28" s="44"/>
      <c r="C28" s="44"/>
      <c r="D28" s="44"/>
      <c r="E28" s="44"/>
      <c r="F28" s="44"/>
      <c r="G28" s="44"/>
      <c r="H28" s="44"/>
      <c r="I28" s="44"/>
      <c r="J28" s="44"/>
      <c r="K28" s="44"/>
      <c r="L28" s="44"/>
      <c r="M28" s="51"/>
      <c r="N28" s="52"/>
      <c r="O28" s="52"/>
      <c r="P28" s="75">
        <v>45006</v>
      </c>
      <c r="Q28" s="58">
        <v>10</v>
      </c>
      <c r="R28" s="44"/>
      <c r="S28" s="53">
        <f>P28</f>
        <v>45006</v>
      </c>
      <c r="T28" s="58">
        <f>(S28-S27)*$U$26*$K$26/360</f>
        <v>10</v>
      </c>
      <c r="U28" s="58">
        <f>T28-Q28</f>
        <v>0</v>
      </c>
      <c r="V28" s="44"/>
      <c r="W28" s="44"/>
      <c r="X28" s="44"/>
      <c r="Y28" s="62">
        <f>ROUNDUP((O26-V27+1)*(K26-W27)*X26/365,2)</f>
        <v>2477.7600000000002</v>
      </c>
      <c r="Z28" s="44"/>
      <c r="AA28" s="44"/>
      <c r="AB28" s="44"/>
    </row>
    <row r="29" spans="1:30" s="35" customFormat="1">
      <c r="A29" s="44"/>
      <c r="B29" s="44"/>
      <c r="C29" s="44"/>
      <c r="D29" s="44"/>
      <c r="E29" s="44"/>
      <c r="F29" s="44"/>
      <c r="G29" s="44"/>
      <c r="H29" s="44"/>
      <c r="I29" s="44"/>
      <c r="J29" s="44"/>
      <c r="K29" s="44"/>
      <c r="L29" s="44"/>
      <c r="M29" s="51"/>
      <c r="N29" s="52"/>
      <c r="O29" s="52"/>
      <c r="P29" s="75">
        <v>45098</v>
      </c>
      <c r="Q29" s="58">
        <v>10.220000000000001</v>
      </c>
      <c r="R29" s="44"/>
      <c r="S29" s="53">
        <f>P29</f>
        <v>45098</v>
      </c>
      <c r="T29" s="58">
        <f>(S29-S28)*$U$26*$K$26/360</f>
        <v>10.220000000000001</v>
      </c>
      <c r="U29" s="58">
        <f>T29-Q29</f>
        <v>0</v>
      </c>
      <c r="V29" s="44"/>
      <c r="W29" s="44"/>
      <c r="X29" s="44"/>
      <c r="Y29" s="44"/>
      <c r="Z29" s="44"/>
      <c r="AA29" s="44"/>
      <c r="AB29" s="44"/>
    </row>
    <row r="30" spans="1:30" s="35" customFormat="1">
      <c r="A30" s="44"/>
      <c r="B30" s="44"/>
      <c r="C30" s="44"/>
      <c r="D30" s="44"/>
      <c r="E30" s="44"/>
      <c r="F30" s="44"/>
      <c r="G30" s="44"/>
      <c r="H30" s="44"/>
      <c r="I30" s="44"/>
      <c r="J30" s="44"/>
      <c r="K30" s="44"/>
      <c r="L30" s="44"/>
      <c r="M30" s="51"/>
      <c r="N30" s="52"/>
      <c r="O30" s="52"/>
      <c r="P30" s="75">
        <v>45190</v>
      </c>
      <c r="Q30" s="58">
        <v>10.220000000000001</v>
      </c>
      <c r="R30" s="44"/>
      <c r="S30" s="53">
        <f>P30</f>
        <v>45190</v>
      </c>
      <c r="T30" s="58">
        <f>(S30-S29)*$U$26*$K$26/360</f>
        <v>10.220000000000001</v>
      </c>
      <c r="U30" s="58">
        <f>T30-Q30</f>
        <v>0</v>
      </c>
      <c r="V30" s="44"/>
      <c r="W30" s="44"/>
      <c r="X30" s="44"/>
      <c r="Y30" s="44"/>
      <c r="Z30" s="44"/>
      <c r="AA30" s="44"/>
      <c r="AB30" s="44"/>
    </row>
    <row r="31" spans="1:30" s="35" customFormat="1">
      <c r="A31" s="44"/>
      <c r="B31" s="44"/>
      <c r="C31" s="44"/>
      <c r="D31" s="44"/>
      <c r="E31" s="44"/>
      <c r="F31" s="44"/>
      <c r="G31" s="44"/>
      <c r="H31" s="44"/>
      <c r="I31" s="44"/>
      <c r="J31" s="44"/>
      <c r="K31" s="44"/>
      <c r="L31" s="44"/>
      <c r="M31" s="51"/>
      <c r="N31" s="52"/>
      <c r="O31" s="52"/>
      <c r="P31" s="75">
        <v>45218</v>
      </c>
      <c r="Q31" s="58">
        <v>3.11</v>
      </c>
      <c r="R31" s="44"/>
      <c r="S31" s="53">
        <f>P31</f>
        <v>45218</v>
      </c>
      <c r="T31" s="58">
        <f>(S31-S30)*$U$26*$K$26/360</f>
        <v>3.11</v>
      </c>
      <c r="U31" s="58">
        <f>T31-Q31</f>
        <v>0</v>
      </c>
      <c r="V31" s="44"/>
      <c r="W31" s="44"/>
      <c r="X31" s="44"/>
      <c r="Y31" s="44"/>
      <c r="Z31" s="44"/>
      <c r="AA31" s="44"/>
      <c r="AB31" s="44"/>
    </row>
    <row r="32" spans="1:30"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70" hidden="1">
      <c r="A48" s="43">
        <v>3</v>
      </c>
      <c r="B48" s="43" t="str">
        <f t="shared" ref="B48:G48" si="1">B26</f>
        <v>成都锦江晓康之家综合门诊部有限公司</v>
      </c>
      <c r="C48" s="43" t="str">
        <f t="shared" si="1"/>
        <v>锦江市场监督管理局</v>
      </c>
      <c r="D48" s="152" t="str">
        <f t="shared" si="1"/>
        <v>915101045746047000</v>
      </c>
      <c r="E48" s="43" t="str">
        <f t="shared" si="1"/>
        <v>有限责任公司</v>
      </c>
      <c r="F48" s="43" t="str">
        <f t="shared" si="1"/>
        <v>国家税务总局成都市锦江区税务局</v>
      </c>
      <c r="G48" s="43" t="str">
        <f t="shared" si="1"/>
        <v>51001908608051502125（建行成都新鸿支行）</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t="70" hidden="1">
      <c r="A70" s="43">
        <v>4</v>
      </c>
      <c r="B70" s="43" t="str">
        <f t="shared" ref="B70:G70" si="2">B48</f>
        <v>成都锦江晓康之家综合门诊部有限公司</v>
      </c>
      <c r="C70" s="43" t="str">
        <f t="shared" si="2"/>
        <v>锦江市场监督管理局</v>
      </c>
      <c r="D70" s="152" t="str">
        <f t="shared" si="2"/>
        <v>915101045746047000</v>
      </c>
      <c r="E70" s="43" t="str">
        <f t="shared" si="2"/>
        <v>有限责任公司</v>
      </c>
      <c r="F70" s="43" t="str">
        <f t="shared" si="2"/>
        <v>国家税务总局成都市锦江区税务局</v>
      </c>
      <c r="G70" s="43" t="str">
        <f t="shared" si="2"/>
        <v>51001908608051502125（建行成都新鸿支行）</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t="70" hidden="1">
      <c r="A92" s="43">
        <v>5</v>
      </c>
      <c r="B92" s="43" t="str">
        <f t="shared" ref="B92:G92" si="3">B70</f>
        <v>成都锦江晓康之家综合门诊部有限公司</v>
      </c>
      <c r="C92" s="43" t="str">
        <f t="shared" si="3"/>
        <v>锦江市场监督管理局</v>
      </c>
      <c r="D92" s="152" t="str">
        <f t="shared" si="3"/>
        <v>915101045746047000</v>
      </c>
      <c r="E92" s="43" t="str">
        <f t="shared" si="3"/>
        <v>有限责任公司</v>
      </c>
      <c r="F92" s="43" t="str">
        <f t="shared" si="3"/>
        <v>国家税务总局成都市锦江区税务局</v>
      </c>
      <c r="G92" s="43" t="str">
        <f t="shared" si="3"/>
        <v>51001908608051502125（建行成都新鸿支行）</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3000</v>
      </c>
      <c r="L114" s="43"/>
      <c r="M114" s="49"/>
      <c r="N114" s="50"/>
      <c r="O114" s="50"/>
      <c r="P114" s="76"/>
      <c r="Q114" s="43"/>
      <c r="R114" s="43">
        <f>R92+R70+R48+R26++R4</f>
        <v>56.66</v>
      </c>
      <c r="S114" s="43"/>
      <c r="T114" s="43"/>
      <c r="U114" s="43"/>
      <c r="V114" s="43"/>
      <c r="W114" s="43"/>
      <c r="X114" s="43"/>
      <c r="Y114" s="43">
        <f>Y92+Y70+Y48+Y26++Y4</f>
        <v>56.66</v>
      </c>
      <c r="Z114" s="43"/>
      <c r="AA114" s="43"/>
      <c r="AB114" s="43"/>
    </row>
    <row r="115" spans="1:28">
      <c r="I115" s="36" t="s">
        <v>49</v>
      </c>
      <c r="K115" s="36">
        <f>IF(K114&gt;3000,K116,K114)</f>
        <v>3000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D116"/>
  <sheetViews>
    <sheetView zoomScale="90" zoomScaleNormal="90" workbookViewId="0">
      <pane ySplit="3" topLeftCell="A4" activePane="bottomLeft" state="frozen"/>
      <selection pane="bottomLeft" activeCell="L26" sqref="L26"/>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成都华高生物制品有限公司审计明细表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26" customHeight="1">
      <c r="A4" s="43">
        <v>1</v>
      </c>
      <c r="B4" s="43" t="s">
        <v>622</v>
      </c>
      <c r="C4" s="43" t="s">
        <v>1021</v>
      </c>
      <c r="D4" s="152" t="s">
        <v>1022</v>
      </c>
      <c r="E4" s="71" t="s">
        <v>78</v>
      </c>
      <c r="F4" s="43" t="s">
        <v>1023</v>
      </c>
      <c r="G4" s="43" t="s">
        <v>1024</v>
      </c>
      <c r="H4" s="71" t="s">
        <v>37</v>
      </c>
      <c r="I4" s="43" t="s">
        <v>1025</v>
      </c>
      <c r="J4" s="71" t="s">
        <v>58</v>
      </c>
      <c r="K4" s="71">
        <v>200</v>
      </c>
      <c r="L4" s="43" t="s">
        <v>1026</v>
      </c>
      <c r="M4" s="49" t="s">
        <v>1027</v>
      </c>
      <c r="N4" s="50">
        <v>45104</v>
      </c>
      <c r="O4" s="50">
        <v>45291</v>
      </c>
      <c r="P4" s="43">
        <f>P11-N4</f>
        <v>208</v>
      </c>
      <c r="Q4" s="55">
        <f>SUM(Q5:Q25)</f>
        <v>4.37</v>
      </c>
      <c r="R4" s="55">
        <v>1.03</v>
      </c>
      <c r="S4" s="43"/>
      <c r="T4" s="55">
        <f>SUM(T5:T25)</f>
        <v>4.37</v>
      </c>
      <c r="U4" s="56">
        <v>3.7999999999999999E-2</v>
      </c>
      <c r="V4" s="50"/>
      <c r="W4" s="43" t="s">
        <v>42</v>
      </c>
      <c r="X4" s="77">
        <v>0.01</v>
      </c>
      <c r="Y4" s="43">
        <f>ROUNDDOWN(IF((O4-N4+1)*K4*X4/365&gt;R4,R4,(O4-N4+1)*K4*X4/365),2)</f>
        <v>1.03</v>
      </c>
      <c r="Z4" s="55">
        <f>R4-Y4</f>
        <v>0</v>
      </c>
      <c r="AA4" s="55"/>
      <c r="AB4" s="43" t="s">
        <v>61</v>
      </c>
      <c r="AD4" s="61">
        <f>(O4-N4+1)*K4*X4/365</f>
        <v>1.0301</v>
      </c>
    </row>
    <row r="5" spans="1:30" s="35" customFormat="1">
      <c r="A5" s="44"/>
      <c r="B5" s="44"/>
      <c r="C5" s="44"/>
      <c r="D5" s="44"/>
      <c r="E5" s="42"/>
      <c r="F5" s="44"/>
      <c r="G5" s="44"/>
      <c r="H5" s="42"/>
      <c r="I5" s="44"/>
      <c r="J5" s="42"/>
      <c r="K5" s="42"/>
      <c r="L5" s="44"/>
      <c r="M5" s="51"/>
      <c r="N5" s="52"/>
      <c r="O5" s="50">
        <v>45468</v>
      </c>
      <c r="P5" s="75">
        <v>45128</v>
      </c>
      <c r="Q5" s="58">
        <v>0.51</v>
      </c>
      <c r="R5" s="44"/>
      <c r="S5" s="75">
        <v>45128</v>
      </c>
      <c r="T5" s="58">
        <f>(S5-N4)/360*$U$4*$K$4</f>
        <v>0.51</v>
      </c>
      <c r="U5" s="78">
        <f t="shared" ref="U5:U11" si="0">T5-Q5</f>
        <v>0</v>
      </c>
      <c r="V5" s="52"/>
      <c r="W5" s="58"/>
      <c r="X5" s="42"/>
      <c r="Y5" s="44">
        <f>ROUNDDOWN((V5-N4)*K4*X4/365,2)</f>
        <v>-247.14</v>
      </c>
      <c r="Z5" s="44"/>
      <c r="AA5" s="44"/>
      <c r="AB5" s="44"/>
    </row>
    <row r="6" spans="1:30" s="35" customFormat="1">
      <c r="A6" s="44"/>
      <c r="B6" s="44"/>
      <c r="C6" s="44"/>
      <c r="D6" s="44"/>
      <c r="E6" s="42"/>
      <c r="F6" s="44"/>
      <c r="G6" s="44"/>
      <c r="H6" s="42"/>
      <c r="I6" s="44"/>
      <c r="J6" s="42"/>
      <c r="K6" s="42"/>
      <c r="L6" s="44"/>
      <c r="M6" s="51"/>
      <c r="N6" s="52"/>
      <c r="O6" s="52"/>
      <c r="P6" s="75">
        <v>45159</v>
      </c>
      <c r="Q6" s="58">
        <v>0.65</v>
      </c>
      <c r="R6" s="44"/>
      <c r="S6" s="75">
        <v>45159</v>
      </c>
      <c r="T6" s="58">
        <f t="shared" ref="T6:T11" si="1">(S6-S5)*$K$4*$U$4/360</f>
        <v>0.65</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45190</v>
      </c>
      <c r="Q7" s="58">
        <v>0.65</v>
      </c>
      <c r="R7" s="44"/>
      <c r="S7" s="75">
        <v>45190</v>
      </c>
      <c r="T7" s="58">
        <f t="shared" si="1"/>
        <v>0.65</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45220</v>
      </c>
      <c r="Q8" s="58">
        <v>0.63</v>
      </c>
      <c r="R8" s="44"/>
      <c r="S8" s="75">
        <v>45220</v>
      </c>
      <c r="T8" s="58">
        <f t="shared" si="1"/>
        <v>0.63</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45251</v>
      </c>
      <c r="Q9" s="58">
        <v>0.65</v>
      </c>
      <c r="R9" s="44"/>
      <c r="S9" s="75">
        <v>45251</v>
      </c>
      <c r="T9" s="58">
        <f t="shared" si="1"/>
        <v>0.65</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45281</v>
      </c>
      <c r="Q10" s="58">
        <v>0.63</v>
      </c>
      <c r="R10" s="44"/>
      <c r="S10" s="75">
        <v>45281</v>
      </c>
      <c r="T10" s="58">
        <f t="shared" si="1"/>
        <v>0.63</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45312</v>
      </c>
      <c r="Q11" s="58">
        <v>0.65</v>
      </c>
      <c r="R11" s="44"/>
      <c r="S11" s="75">
        <v>45312</v>
      </c>
      <c r="T11" s="58">
        <f t="shared" si="1"/>
        <v>0.65</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24" customHeight="1">
      <c r="A26" s="43">
        <v>2</v>
      </c>
      <c r="B26" s="43" t="s">
        <v>622</v>
      </c>
      <c r="C26" s="43" t="s">
        <v>1021</v>
      </c>
      <c r="D26" s="152" t="s">
        <v>1022</v>
      </c>
      <c r="E26" s="71" t="s">
        <v>78</v>
      </c>
      <c r="F26" s="43" t="s">
        <v>1023</v>
      </c>
      <c r="G26" s="43" t="s">
        <v>1024</v>
      </c>
      <c r="H26" s="71" t="s">
        <v>37</v>
      </c>
      <c r="I26" s="43" t="s">
        <v>1025</v>
      </c>
      <c r="J26" s="71" t="s">
        <v>58</v>
      </c>
      <c r="K26" s="71">
        <v>300</v>
      </c>
      <c r="L26" s="43" t="s">
        <v>1028</v>
      </c>
      <c r="M26" s="49" t="s">
        <v>1029</v>
      </c>
      <c r="N26" s="50">
        <v>45092</v>
      </c>
      <c r="O26" s="50">
        <v>45291</v>
      </c>
      <c r="P26" s="43">
        <f>P28-N26</f>
        <v>67</v>
      </c>
      <c r="Q26" s="55">
        <f>SUM(Q27:Q32)</f>
        <v>5.98</v>
      </c>
      <c r="R26" s="55">
        <v>2.4700000000000002</v>
      </c>
      <c r="S26" s="43"/>
      <c r="T26" s="43">
        <f>SUM(T27:T32)</f>
        <v>5.98</v>
      </c>
      <c r="U26" s="56">
        <v>3.7999999999999999E-2</v>
      </c>
      <c r="V26" s="50"/>
      <c r="W26" s="43" t="s">
        <v>42</v>
      </c>
      <c r="X26" s="79">
        <v>0.01</v>
      </c>
      <c r="Y26" s="43">
        <f>ROUNDDOWN(IF((O26-N26+1)*K26*X26/365&gt;R26,R26,(O26-N26+1)*K26*X26/365),2)</f>
        <v>1.64</v>
      </c>
      <c r="Z26" s="95">
        <f>R26-Y26</f>
        <v>1</v>
      </c>
      <c r="AA26" s="43" t="s">
        <v>1030</v>
      </c>
      <c r="AB26" s="43" t="s">
        <v>61</v>
      </c>
    </row>
    <row r="27" spans="1:28" s="35" customFormat="1">
      <c r="A27" s="44"/>
      <c r="B27" s="44"/>
      <c r="C27" s="44"/>
      <c r="D27" s="44"/>
      <c r="E27" s="42"/>
      <c r="F27" s="44"/>
      <c r="G27" s="44"/>
      <c r="H27" s="42"/>
      <c r="I27" s="44"/>
      <c r="J27" s="42"/>
      <c r="K27" s="42"/>
      <c r="L27" s="44"/>
      <c r="M27" s="51"/>
      <c r="N27" s="52"/>
      <c r="O27" s="50">
        <v>45456</v>
      </c>
      <c r="P27" s="75">
        <v>45128</v>
      </c>
      <c r="Q27" s="58">
        <v>1.1399999999999999</v>
      </c>
      <c r="R27" s="75"/>
      <c r="S27" s="75">
        <v>45128</v>
      </c>
      <c r="T27" s="58">
        <f>(S27-N26)/360*$U$26*$K$26</f>
        <v>1.1399999999999999</v>
      </c>
      <c r="U27" s="78">
        <f t="shared" ref="U27:U33" si="2">T27-Q27</f>
        <v>0</v>
      </c>
      <c r="V27" s="52"/>
      <c r="W27" s="44"/>
      <c r="X27" s="42"/>
      <c r="Y27" s="62">
        <f>ROUNDDOWN((V27-N26)*K26*X26/365,2)</f>
        <v>-370.61</v>
      </c>
      <c r="Z27" s="44"/>
      <c r="AA27" s="44"/>
      <c r="AB27" s="44"/>
    </row>
    <row r="28" spans="1:28" s="35" customFormat="1">
      <c r="A28" s="44"/>
      <c r="B28" s="44"/>
      <c r="C28" s="44"/>
      <c r="D28" s="44"/>
      <c r="E28" s="42"/>
      <c r="F28" s="44"/>
      <c r="G28" s="44"/>
      <c r="H28" s="42"/>
      <c r="I28" s="44"/>
      <c r="J28" s="42"/>
      <c r="K28" s="42"/>
      <c r="L28" s="44"/>
      <c r="M28" s="51"/>
      <c r="N28" s="52"/>
      <c r="O28" s="52"/>
      <c r="P28" s="75">
        <v>45159</v>
      </c>
      <c r="Q28" s="58">
        <v>0.98</v>
      </c>
      <c r="R28" s="75"/>
      <c r="S28" s="75">
        <v>45159</v>
      </c>
      <c r="T28" s="58">
        <f t="shared" ref="T28:T33" si="3">(S28-S27)*$U$26*$K$26/360</f>
        <v>0.98</v>
      </c>
      <c r="U28" s="78">
        <f t="shared" si="2"/>
        <v>0</v>
      </c>
      <c r="V28" s="44"/>
      <c r="W28" s="44"/>
      <c r="X28" s="42"/>
      <c r="Y28" s="62"/>
      <c r="Z28" s="44"/>
      <c r="AA28" s="44"/>
      <c r="AB28" s="44"/>
    </row>
    <row r="29" spans="1:28" s="35" customFormat="1">
      <c r="A29" s="44"/>
      <c r="B29" s="44"/>
      <c r="C29" s="44"/>
      <c r="D29" s="44"/>
      <c r="E29" s="42"/>
      <c r="F29" s="44"/>
      <c r="G29" s="44"/>
      <c r="H29" s="42"/>
      <c r="I29" s="44"/>
      <c r="J29" s="42"/>
      <c r="K29" s="42"/>
      <c r="L29" s="44"/>
      <c r="M29" s="51"/>
      <c r="N29" s="52"/>
      <c r="O29" s="52"/>
      <c r="P29" s="75">
        <v>45190</v>
      </c>
      <c r="Q29" s="58">
        <v>0.98</v>
      </c>
      <c r="R29" s="44"/>
      <c r="S29" s="75">
        <v>45190</v>
      </c>
      <c r="T29" s="58">
        <f t="shared" si="3"/>
        <v>0.98</v>
      </c>
      <c r="U29" s="78">
        <f t="shared" si="2"/>
        <v>0</v>
      </c>
      <c r="V29" s="44"/>
      <c r="W29" s="44"/>
      <c r="X29" s="42"/>
      <c r="Y29" s="44"/>
      <c r="Z29" s="44"/>
      <c r="AA29" s="44"/>
      <c r="AB29" s="44"/>
    </row>
    <row r="30" spans="1:28" s="35" customFormat="1">
      <c r="A30" s="44"/>
      <c r="B30" s="44"/>
      <c r="C30" s="44"/>
      <c r="D30" s="44"/>
      <c r="E30" s="42"/>
      <c r="F30" s="44"/>
      <c r="G30" s="44"/>
      <c r="H30" s="42"/>
      <c r="I30" s="44"/>
      <c r="J30" s="42"/>
      <c r="K30" s="42"/>
      <c r="L30" s="44"/>
      <c r="M30" s="51"/>
      <c r="N30" s="52"/>
      <c r="O30" s="52"/>
      <c r="P30" s="75">
        <v>45220</v>
      </c>
      <c r="Q30" s="58">
        <v>0.95</v>
      </c>
      <c r="R30" s="44"/>
      <c r="S30" s="75">
        <v>45220</v>
      </c>
      <c r="T30" s="58">
        <f t="shared" si="3"/>
        <v>0.95</v>
      </c>
      <c r="U30" s="78">
        <f t="shared" si="2"/>
        <v>0</v>
      </c>
      <c r="V30" s="44"/>
      <c r="W30" s="44"/>
      <c r="X30" s="42"/>
      <c r="Y30" s="44"/>
      <c r="Z30" s="44"/>
      <c r="AA30" s="44"/>
      <c r="AB30" s="44"/>
    </row>
    <row r="31" spans="1:28" s="35" customFormat="1">
      <c r="A31" s="44"/>
      <c r="B31" s="44"/>
      <c r="C31" s="44"/>
      <c r="D31" s="44"/>
      <c r="E31" s="42"/>
      <c r="F31" s="44"/>
      <c r="G31" s="44"/>
      <c r="H31" s="42"/>
      <c r="I31" s="44"/>
      <c r="J31" s="42"/>
      <c r="K31" s="42"/>
      <c r="L31" s="44"/>
      <c r="M31" s="51"/>
      <c r="N31" s="52"/>
      <c r="O31" s="52"/>
      <c r="P31" s="75">
        <v>45251</v>
      </c>
      <c r="Q31" s="58">
        <v>0.98</v>
      </c>
      <c r="R31" s="44"/>
      <c r="S31" s="75">
        <v>45251</v>
      </c>
      <c r="T31" s="58">
        <f t="shared" si="3"/>
        <v>0.98</v>
      </c>
      <c r="U31" s="78">
        <f t="shared" si="2"/>
        <v>0</v>
      </c>
      <c r="V31" s="44"/>
      <c r="W31" s="44"/>
      <c r="X31" s="42"/>
      <c r="Y31" s="44"/>
      <c r="Z31" s="44"/>
      <c r="AA31" s="44"/>
      <c r="AB31" s="44"/>
    </row>
    <row r="32" spans="1:28" s="35" customFormat="1">
      <c r="A32" s="44"/>
      <c r="B32" s="44"/>
      <c r="C32" s="44"/>
      <c r="D32" s="44"/>
      <c r="E32" s="42"/>
      <c r="F32" s="44"/>
      <c r="G32" s="44"/>
      <c r="H32" s="42"/>
      <c r="I32" s="44"/>
      <c r="J32" s="42"/>
      <c r="K32" s="42"/>
      <c r="L32" s="44"/>
      <c r="M32" s="51"/>
      <c r="N32" s="52"/>
      <c r="O32" s="52"/>
      <c r="P32" s="75">
        <v>45281</v>
      </c>
      <c r="Q32" s="58">
        <v>0.95</v>
      </c>
      <c r="R32" s="44"/>
      <c r="S32" s="75">
        <v>45281</v>
      </c>
      <c r="T32" s="58">
        <f t="shared" si="3"/>
        <v>0.95</v>
      </c>
      <c r="U32" s="78">
        <f t="shared" si="2"/>
        <v>0</v>
      </c>
      <c r="V32" s="44"/>
      <c r="W32" s="44"/>
      <c r="X32" s="42"/>
      <c r="Y32" s="44"/>
      <c r="Z32" s="44"/>
      <c r="AA32" s="44"/>
      <c r="AB32" s="44"/>
    </row>
    <row r="33" spans="1:28" s="35" customFormat="1">
      <c r="A33" s="44"/>
      <c r="B33" s="44"/>
      <c r="C33" s="44"/>
      <c r="D33" s="44"/>
      <c r="E33" s="42"/>
      <c r="F33" s="44"/>
      <c r="G33" s="44"/>
      <c r="H33" s="42"/>
      <c r="I33" s="44"/>
      <c r="J33" s="42"/>
      <c r="K33" s="42"/>
      <c r="L33" s="44"/>
      <c r="M33" s="51"/>
      <c r="N33" s="52"/>
      <c r="O33" s="52"/>
      <c r="P33" s="75">
        <v>45312</v>
      </c>
      <c r="Q33" s="58">
        <v>0.98</v>
      </c>
      <c r="R33" s="44"/>
      <c r="S33" s="75">
        <v>45312</v>
      </c>
      <c r="T33" s="58">
        <f t="shared" si="3"/>
        <v>0.98</v>
      </c>
      <c r="U33" s="78">
        <f t="shared" si="2"/>
        <v>0</v>
      </c>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4">B48</f>
        <v>0</v>
      </c>
      <c r="C70" s="43">
        <f t="shared" si="4"/>
        <v>0</v>
      </c>
      <c r="D70" s="43">
        <f t="shared" si="4"/>
        <v>0</v>
      </c>
      <c r="E70" s="71">
        <f t="shared" si="4"/>
        <v>0</v>
      </c>
      <c r="F70" s="43">
        <f t="shared" si="4"/>
        <v>0</v>
      </c>
      <c r="G70" s="43">
        <f t="shared" si="4"/>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5">B70</f>
        <v>0</v>
      </c>
      <c r="C92" s="43">
        <f t="shared" si="5"/>
        <v>0</v>
      </c>
      <c r="D92" s="43">
        <f t="shared" si="5"/>
        <v>0</v>
      </c>
      <c r="E92" s="71">
        <f t="shared" si="5"/>
        <v>0</v>
      </c>
      <c r="F92" s="43">
        <f t="shared" si="5"/>
        <v>0</v>
      </c>
      <c r="G92" s="43">
        <f t="shared" si="5"/>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500</v>
      </c>
      <c r="L114" s="43"/>
      <c r="M114" s="49"/>
      <c r="N114" s="50"/>
      <c r="O114" s="50"/>
      <c r="P114" s="76"/>
      <c r="Q114" s="43"/>
      <c r="R114" s="43">
        <f>R92+R70+R48+R26++R4</f>
        <v>3.5</v>
      </c>
      <c r="S114" s="43"/>
      <c r="T114" s="43"/>
      <c r="U114" s="43"/>
      <c r="V114" s="43"/>
      <c r="W114" s="43"/>
      <c r="X114" s="71"/>
      <c r="Y114" s="43">
        <f>Y92+Y70+Y48+Y26++Y4</f>
        <v>2.67</v>
      </c>
      <c r="Z114" s="43"/>
      <c r="AA114" s="43"/>
      <c r="AB114" s="43"/>
    </row>
    <row r="115" spans="1:28">
      <c r="I115" s="36" t="s">
        <v>49</v>
      </c>
      <c r="K115" s="72">
        <f>IF(K114&gt;3000,K116,K114)</f>
        <v>500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D116"/>
  <sheetViews>
    <sheetView topLeftCell="L1" zoomScale="80" zoomScaleNormal="8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成都市凌翔植化科技开发有限公司审计明细表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26" customHeight="1">
      <c r="A4" s="43">
        <v>1</v>
      </c>
      <c r="B4" s="43" t="s">
        <v>656</v>
      </c>
      <c r="C4" s="43" t="s">
        <v>1021</v>
      </c>
      <c r="D4" s="43" t="s">
        <v>1031</v>
      </c>
      <c r="E4" s="71" t="s">
        <v>165</v>
      </c>
      <c r="F4" s="43" t="s">
        <v>1032</v>
      </c>
      <c r="G4" s="43" t="s">
        <v>1033</v>
      </c>
      <c r="H4" s="71" t="s">
        <v>37</v>
      </c>
      <c r="I4" s="43" t="s">
        <v>1034</v>
      </c>
      <c r="J4" s="71" t="s">
        <v>365</v>
      </c>
      <c r="K4" s="71">
        <v>100</v>
      </c>
      <c r="L4" s="43" t="s">
        <v>1035</v>
      </c>
      <c r="M4" s="49" t="s">
        <v>1036</v>
      </c>
      <c r="N4" s="50">
        <v>44901</v>
      </c>
      <c r="O4" s="68">
        <v>45079</v>
      </c>
      <c r="P4" s="43">
        <f>P11-N4</f>
        <v>178</v>
      </c>
      <c r="Q4" s="55">
        <f>SUM(Q5:Q25)</f>
        <v>2.11</v>
      </c>
      <c r="R4" s="55">
        <v>0.49</v>
      </c>
      <c r="S4" s="43"/>
      <c r="T4" s="55">
        <f>SUM(T5:T25)</f>
        <v>1.97</v>
      </c>
      <c r="U4" s="56">
        <v>3.6499999999999998E-2</v>
      </c>
      <c r="V4" s="50"/>
      <c r="W4" s="43" t="s">
        <v>1037</v>
      </c>
      <c r="X4" s="77">
        <v>0.01</v>
      </c>
      <c r="Y4" s="43">
        <f>ROUNDDOWN(IF((O4-N4+1)*K4*X4/365&gt;R4,R4,(O4-N4+1)*K4*X4/365),2)</f>
        <v>0.49</v>
      </c>
      <c r="Z4" s="55">
        <f>R4-Y4</f>
        <v>0</v>
      </c>
      <c r="AA4" s="55"/>
      <c r="AB4" s="43" t="s">
        <v>61</v>
      </c>
      <c r="AD4" s="61">
        <f>(O4-N4+1)*K4*X4/365</f>
        <v>0.4904</v>
      </c>
    </row>
    <row r="5" spans="1:30" s="35" customFormat="1" ht="84">
      <c r="A5" s="44"/>
      <c r="B5" s="44"/>
      <c r="C5" s="44"/>
      <c r="D5" s="44"/>
      <c r="E5" s="42"/>
      <c r="F5" s="44"/>
      <c r="G5" s="44"/>
      <c r="H5" s="42"/>
      <c r="I5" s="44"/>
      <c r="J5" s="42"/>
      <c r="K5" s="42"/>
      <c r="L5" s="44"/>
      <c r="M5" s="51" t="s">
        <v>1038</v>
      </c>
      <c r="N5" s="52"/>
      <c r="O5" s="52"/>
      <c r="P5" s="75">
        <v>44916</v>
      </c>
      <c r="Q5" s="58">
        <v>0.18</v>
      </c>
      <c r="R5" s="44"/>
      <c r="S5" s="75">
        <v>44916</v>
      </c>
      <c r="T5" s="58">
        <f>(S5-N4)/360*$U$4*$K$4</f>
        <v>0.15</v>
      </c>
      <c r="U5" s="94">
        <f t="shared" ref="U5:U11" si="0">T5-Q5</f>
        <v>-0.03</v>
      </c>
      <c r="V5" s="52"/>
      <c r="W5" s="58"/>
      <c r="X5" s="42"/>
      <c r="Y5" s="44">
        <f>ROUNDDOWN((V5-N4)*K4*X4/365,2)</f>
        <v>-123.01</v>
      </c>
      <c r="Z5" s="44"/>
      <c r="AA5" s="44"/>
      <c r="AB5" s="44"/>
    </row>
    <row r="6" spans="1:30" s="35" customFormat="1">
      <c r="A6" s="44"/>
      <c r="B6" s="44"/>
      <c r="C6" s="44"/>
      <c r="D6" s="44"/>
      <c r="E6" s="42"/>
      <c r="F6" s="44"/>
      <c r="G6" s="44"/>
      <c r="H6" s="42"/>
      <c r="I6" s="44"/>
      <c r="J6" s="42"/>
      <c r="K6" s="42"/>
      <c r="L6" s="44"/>
      <c r="M6" s="51"/>
      <c r="N6" s="52"/>
      <c r="O6" s="52"/>
      <c r="P6" s="75">
        <v>44947</v>
      </c>
      <c r="Q6" s="58">
        <v>0.37</v>
      </c>
      <c r="R6" s="44"/>
      <c r="S6" s="75">
        <v>44947</v>
      </c>
      <c r="T6" s="58">
        <f t="shared" ref="T6:T11" si="1">(S6-S5)*$K$4*$U$4/360</f>
        <v>0.31</v>
      </c>
      <c r="U6" s="94">
        <f t="shared" si="0"/>
        <v>-0.06</v>
      </c>
      <c r="V6" s="75"/>
      <c r="W6" s="58"/>
      <c r="X6" s="42"/>
      <c r="Y6" s="44"/>
      <c r="Z6" s="44"/>
      <c r="AA6" s="44"/>
      <c r="AB6" s="44"/>
    </row>
    <row r="7" spans="1:30" s="35" customFormat="1">
      <c r="A7" s="44"/>
      <c r="B7" s="44"/>
      <c r="C7" s="44"/>
      <c r="D7" s="44"/>
      <c r="E7" s="42"/>
      <c r="F7" s="44"/>
      <c r="G7" s="44"/>
      <c r="H7" s="42"/>
      <c r="I7" s="44"/>
      <c r="J7" s="42"/>
      <c r="K7" s="42"/>
      <c r="L7" s="44"/>
      <c r="M7" s="51"/>
      <c r="N7" s="52"/>
      <c r="O7" s="52"/>
      <c r="P7" s="75">
        <v>44978</v>
      </c>
      <c r="Q7" s="58">
        <v>0.37</v>
      </c>
      <c r="R7" s="44"/>
      <c r="S7" s="75">
        <v>44978</v>
      </c>
      <c r="T7" s="58">
        <f t="shared" si="1"/>
        <v>0.31</v>
      </c>
      <c r="U7" s="94">
        <f t="shared" si="0"/>
        <v>-0.06</v>
      </c>
      <c r="V7" s="75"/>
      <c r="W7" s="58"/>
      <c r="X7" s="42"/>
      <c r="Y7" s="44"/>
      <c r="Z7" s="44"/>
      <c r="AA7" s="44"/>
      <c r="AB7" s="44"/>
    </row>
    <row r="8" spans="1:30" s="35" customFormat="1">
      <c r="A8" s="44"/>
      <c r="B8" s="44"/>
      <c r="C8" s="44"/>
      <c r="D8" s="44"/>
      <c r="E8" s="42"/>
      <c r="F8" s="44"/>
      <c r="G8" s="44"/>
      <c r="H8" s="42"/>
      <c r="I8" s="44"/>
      <c r="J8" s="42"/>
      <c r="K8" s="42"/>
      <c r="L8" s="44"/>
      <c r="M8" s="51"/>
      <c r="N8" s="52"/>
      <c r="O8" s="52"/>
      <c r="P8" s="75">
        <v>45006</v>
      </c>
      <c r="Q8" s="58">
        <v>0.33</v>
      </c>
      <c r="R8" s="44"/>
      <c r="S8" s="75">
        <v>45006</v>
      </c>
      <c r="T8" s="58">
        <f t="shared" si="1"/>
        <v>0.28000000000000003</v>
      </c>
      <c r="U8" s="94">
        <f t="shared" si="0"/>
        <v>-0.05</v>
      </c>
      <c r="V8" s="75"/>
      <c r="W8" s="58"/>
      <c r="X8" s="42"/>
      <c r="Y8" s="44"/>
      <c r="Z8" s="44"/>
      <c r="AA8" s="44"/>
      <c r="AB8" s="44"/>
    </row>
    <row r="9" spans="1:30" s="35" customFormat="1">
      <c r="A9" s="44"/>
      <c r="B9" s="44"/>
      <c r="C9" s="44"/>
      <c r="D9" s="44"/>
      <c r="E9" s="42"/>
      <c r="F9" s="44"/>
      <c r="G9" s="44"/>
      <c r="H9" s="42"/>
      <c r="I9" s="44"/>
      <c r="J9" s="42"/>
      <c r="K9" s="42"/>
      <c r="L9" s="44"/>
      <c r="M9" s="51"/>
      <c r="N9" s="52"/>
      <c r="O9" s="52"/>
      <c r="P9" s="75">
        <v>45037</v>
      </c>
      <c r="Q9" s="58">
        <v>0.37</v>
      </c>
      <c r="R9" s="44"/>
      <c r="S9" s="75">
        <v>45037</v>
      </c>
      <c r="T9" s="58">
        <f t="shared" si="1"/>
        <v>0.31</v>
      </c>
      <c r="U9" s="94">
        <f t="shared" si="0"/>
        <v>-0.06</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45067</v>
      </c>
      <c r="Q10" s="58">
        <v>0.35</v>
      </c>
      <c r="R10" s="44"/>
      <c r="S10" s="75">
        <v>45067</v>
      </c>
      <c r="T10" s="58">
        <f t="shared" si="1"/>
        <v>0.3</v>
      </c>
      <c r="U10" s="94">
        <f t="shared" si="0"/>
        <v>-0.05</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45079</v>
      </c>
      <c r="Q11" s="58">
        <v>0.14000000000000001</v>
      </c>
      <c r="R11" s="44"/>
      <c r="S11" s="75">
        <v>45098</v>
      </c>
      <c r="T11" s="58">
        <f t="shared" si="1"/>
        <v>0.31</v>
      </c>
      <c r="U11" s="94">
        <f t="shared" si="0"/>
        <v>0.17</v>
      </c>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24" hidden="1" customHeight="1">
      <c r="A26" s="43">
        <v>2</v>
      </c>
      <c r="B26" s="43"/>
      <c r="C26" s="43"/>
      <c r="D26" s="43"/>
      <c r="E26" s="71"/>
      <c r="F26" s="43"/>
      <c r="G26" s="43"/>
      <c r="H26" s="71"/>
      <c r="I26" s="43"/>
      <c r="J26" s="71"/>
      <c r="K26" s="71"/>
      <c r="L26" s="43"/>
      <c r="M26" s="49"/>
      <c r="N26" s="50"/>
      <c r="O26" s="50"/>
      <c r="P26" s="43"/>
      <c r="Q26" s="55"/>
      <c r="R26" s="55"/>
      <c r="S26" s="43"/>
      <c r="T26" s="43"/>
      <c r="U26" s="56"/>
      <c r="V26" s="50"/>
      <c r="W26" s="43"/>
      <c r="X26" s="79"/>
      <c r="Y26" s="43"/>
      <c r="Z26" s="95"/>
      <c r="AA26" s="43"/>
      <c r="AB26" s="43"/>
    </row>
    <row r="27" spans="1:28" s="35" customFormat="1" hidden="1">
      <c r="A27" s="44"/>
      <c r="B27" s="44"/>
      <c r="C27" s="44"/>
      <c r="D27" s="44"/>
      <c r="E27" s="42"/>
      <c r="F27" s="44"/>
      <c r="G27" s="44"/>
      <c r="H27" s="42"/>
      <c r="I27" s="44"/>
      <c r="J27" s="42"/>
      <c r="K27" s="42"/>
      <c r="L27" s="44"/>
      <c r="M27" s="51"/>
      <c r="N27" s="52"/>
      <c r="O27" s="52"/>
      <c r="P27" s="75"/>
      <c r="Q27" s="58"/>
      <c r="R27" s="75"/>
      <c r="S27" s="75"/>
      <c r="T27" s="58"/>
      <c r="U27" s="78"/>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c r="S28" s="75"/>
      <c r="T28" s="58"/>
      <c r="U28" s="78"/>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75"/>
      <c r="T29" s="58"/>
      <c r="U29" s="78"/>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75"/>
      <c r="T30" s="58"/>
      <c r="U30" s="78"/>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75"/>
      <c r="T31" s="58"/>
      <c r="U31" s="78"/>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75"/>
      <c r="T32" s="58"/>
      <c r="U32" s="7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75"/>
      <c r="T33" s="58"/>
      <c r="U33" s="7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2">B48</f>
        <v>0</v>
      </c>
      <c r="C70" s="43">
        <f t="shared" si="2"/>
        <v>0</v>
      </c>
      <c r="D70" s="43">
        <f t="shared" si="2"/>
        <v>0</v>
      </c>
      <c r="E70" s="71">
        <f t="shared" si="2"/>
        <v>0</v>
      </c>
      <c r="F70" s="43">
        <f t="shared" si="2"/>
        <v>0</v>
      </c>
      <c r="G70" s="43">
        <f t="shared" si="2"/>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3">B70</f>
        <v>0</v>
      </c>
      <c r="C92" s="43">
        <f t="shared" si="3"/>
        <v>0</v>
      </c>
      <c r="D92" s="43">
        <f t="shared" si="3"/>
        <v>0</v>
      </c>
      <c r="E92" s="71">
        <f t="shared" si="3"/>
        <v>0</v>
      </c>
      <c r="F92" s="43">
        <f t="shared" si="3"/>
        <v>0</v>
      </c>
      <c r="G92" s="43">
        <f t="shared" si="3"/>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v>
      </c>
      <c r="L114" s="43"/>
      <c r="M114" s="49"/>
      <c r="N114" s="50"/>
      <c r="O114" s="50"/>
      <c r="P114" s="76"/>
      <c r="Q114" s="43"/>
      <c r="R114" s="43">
        <f>R92+R70+R48+R26++R4</f>
        <v>0.49</v>
      </c>
      <c r="S114" s="43"/>
      <c r="T114" s="43"/>
      <c r="U114" s="43"/>
      <c r="V114" s="43"/>
      <c r="W114" s="43"/>
      <c r="X114" s="71"/>
      <c r="Y114" s="43">
        <f>Y92+Y70+Y48+Y26++Y4</f>
        <v>0.49</v>
      </c>
      <c r="Z114" s="43"/>
      <c r="AA114" s="43"/>
      <c r="AB114" s="43"/>
    </row>
    <row r="115" spans="1:28">
      <c r="I115" s="36" t="s">
        <v>49</v>
      </c>
      <c r="K115" s="72">
        <f>IF(K114&gt;3000,K116,K114)</f>
        <v>100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D116"/>
  <sheetViews>
    <sheetView zoomScale="60" zoomScaleNormal="60" workbookViewId="0">
      <pane ySplit="3" topLeftCell="A4" activePane="bottomLeft" state="frozen"/>
      <selection pane="bottomLeft" activeCell="M7" sqref="M7"/>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知行良知实业股份有限公司审计明细表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50.15"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12">
      <c r="A4" s="43">
        <v>1</v>
      </c>
      <c r="B4" s="43" t="s">
        <v>736</v>
      </c>
      <c r="C4" s="43" t="s">
        <v>52</v>
      </c>
      <c r="D4" s="43" t="s">
        <v>1039</v>
      </c>
      <c r="E4" s="43" t="s">
        <v>34</v>
      </c>
      <c r="F4" s="43" t="s">
        <v>1040</v>
      </c>
      <c r="G4" s="43" t="s">
        <v>1041</v>
      </c>
      <c r="H4" s="43" t="s">
        <v>71</v>
      </c>
      <c r="I4" s="43" t="s">
        <v>1042</v>
      </c>
      <c r="J4" s="43" t="s">
        <v>228</v>
      </c>
      <c r="K4" s="43">
        <v>1000</v>
      </c>
      <c r="L4" s="43" t="s">
        <v>1043</v>
      </c>
      <c r="M4" s="49" t="s">
        <v>1044</v>
      </c>
      <c r="N4" s="50">
        <v>45238</v>
      </c>
      <c r="O4" s="50">
        <v>45291</v>
      </c>
      <c r="P4" s="43">
        <f>P7-N4</f>
        <v>73</v>
      </c>
      <c r="Q4" s="55">
        <f>SUM(Q5:Q25)</f>
        <v>6.41</v>
      </c>
      <c r="R4" s="55">
        <v>2.1800000000000002</v>
      </c>
      <c r="S4" s="43"/>
      <c r="T4" s="55">
        <f>SUM(T5:T25)</f>
        <v>8.83</v>
      </c>
      <c r="U4" s="56">
        <v>4.3499999999999997E-2</v>
      </c>
      <c r="V4" s="50"/>
      <c r="W4" s="43" t="s">
        <v>42</v>
      </c>
      <c r="X4" s="57">
        <v>1.4999999999999999E-2</v>
      </c>
      <c r="Y4" s="43">
        <v>0</v>
      </c>
      <c r="Z4" s="55">
        <f>R4-Y4</f>
        <v>2.1800000000000002</v>
      </c>
      <c r="AA4" s="55" t="s">
        <v>151</v>
      </c>
      <c r="AB4" s="43" t="s">
        <v>61</v>
      </c>
      <c r="AD4" s="61">
        <f>(O4-N4+1)*K4*X4/365</f>
        <v>2.2191999999999998</v>
      </c>
    </row>
    <row r="5" spans="1:30" s="35" customFormat="1">
      <c r="A5" s="44"/>
      <c r="B5" s="44"/>
      <c r="C5" s="44"/>
      <c r="D5" s="44"/>
      <c r="E5" s="44"/>
      <c r="F5" s="44"/>
      <c r="G5" s="44"/>
      <c r="H5" s="44"/>
      <c r="I5" s="44"/>
      <c r="J5" s="44"/>
      <c r="K5" s="44"/>
      <c r="L5" s="44"/>
      <c r="M5" s="51"/>
      <c r="N5" s="52"/>
      <c r="O5" s="50">
        <v>45758</v>
      </c>
      <c r="P5" s="75">
        <v>45250</v>
      </c>
      <c r="Q5" s="58">
        <v>1.45</v>
      </c>
      <c r="R5" s="75"/>
      <c r="S5" s="75">
        <v>45250</v>
      </c>
      <c r="T5" s="58">
        <f>(S5-N4)/360*$U$4*$K$4</f>
        <v>1.45</v>
      </c>
      <c r="U5" s="78">
        <f>T5-Q5</f>
        <v>0</v>
      </c>
      <c r="V5" s="52"/>
      <c r="W5" s="44"/>
      <c r="X5" s="44"/>
      <c r="Y5" s="44">
        <f>ROUNDDOWN((V5-N4)*K4*X4/365,2)</f>
        <v>-1859.09</v>
      </c>
      <c r="Z5" s="44"/>
      <c r="AA5" s="44"/>
      <c r="AB5" s="44"/>
    </row>
    <row r="6" spans="1:30" s="35" customFormat="1">
      <c r="A6" s="44"/>
      <c r="B6" s="44"/>
      <c r="C6" s="44"/>
      <c r="D6" s="44"/>
      <c r="E6" s="44"/>
      <c r="F6" s="44"/>
      <c r="G6" s="44"/>
      <c r="H6" s="44"/>
      <c r="I6" s="44"/>
      <c r="J6" s="44"/>
      <c r="K6" s="44"/>
      <c r="L6" s="44"/>
      <c r="M6" s="51"/>
      <c r="N6" s="52"/>
      <c r="O6" s="52"/>
      <c r="P6" s="75">
        <v>45280</v>
      </c>
      <c r="Q6" s="58">
        <v>3.63</v>
      </c>
      <c r="R6" s="75"/>
      <c r="S6" s="75">
        <v>45280</v>
      </c>
      <c r="T6" s="58">
        <f>(S6-S5)*$K$4*$U$4/360</f>
        <v>3.63</v>
      </c>
      <c r="U6" s="78">
        <f>T6-Q6</f>
        <v>0</v>
      </c>
      <c r="V6" s="44"/>
      <c r="W6" s="44"/>
      <c r="X6" s="44"/>
      <c r="Y6" s="44"/>
      <c r="Z6" s="44"/>
      <c r="AA6" s="44"/>
      <c r="AB6" s="44"/>
    </row>
    <row r="7" spans="1:30" s="35" customFormat="1">
      <c r="A7" s="44"/>
      <c r="B7" s="44"/>
      <c r="C7" s="44"/>
      <c r="D7" s="44"/>
      <c r="E7" s="44"/>
      <c r="F7" s="44"/>
      <c r="G7" s="44"/>
      <c r="H7" s="44"/>
      <c r="I7" s="44"/>
      <c r="J7" s="103"/>
      <c r="K7" s="44"/>
      <c r="L7" s="44"/>
      <c r="M7" s="51"/>
      <c r="N7" s="52"/>
      <c r="O7" s="52"/>
      <c r="P7" s="75">
        <v>45311</v>
      </c>
      <c r="Q7" s="58">
        <v>1.33</v>
      </c>
      <c r="R7" s="75"/>
      <c r="S7" s="75">
        <v>45311</v>
      </c>
      <c r="T7" s="58">
        <f>(S7-S6)*$K$4*$U$4/360</f>
        <v>3.75</v>
      </c>
      <c r="U7" s="58">
        <f>T7-Q7</f>
        <v>2.42</v>
      </c>
      <c r="V7" s="44"/>
      <c r="W7" s="44"/>
      <c r="X7" s="44"/>
      <c r="Y7" s="44"/>
      <c r="Z7" s="44"/>
      <c r="AA7" s="44"/>
      <c r="AB7" s="44"/>
    </row>
    <row r="8" spans="1:30" s="35" customFormat="1" hidden="1">
      <c r="A8" s="44"/>
      <c r="B8" s="44"/>
      <c r="C8" s="44"/>
      <c r="D8" s="44"/>
      <c r="E8" s="44"/>
      <c r="F8" s="44"/>
      <c r="G8" s="44"/>
      <c r="H8" s="44"/>
      <c r="I8" s="44"/>
      <c r="J8" s="44"/>
      <c r="K8" s="44"/>
      <c r="L8" s="44"/>
      <c r="M8" s="51"/>
      <c r="N8" s="52"/>
      <c r="O8" s="52"/>
      <c r="P8" s="75"/>
      <c r="Q8" s="58"/>
      <c r="R8" s="75"/>
      <c r="S8" s="75"/>
      <c r="T8" s="58"/>
      <c r="U8" s="58"/>
      <c r="V8" s="44"/>
      <c r="W8" s="44"/>
      <c r="X8" s="44"/>
      <c r="Y8" s="44"/>
      <c r="Z8" s="44"/>
      <c r="AA8" s="44"/>
      <c r="AB8" s="44"/>
    </row>
    <row r="9" spans="1:30" s="35" customFormat="1" hidden="1">
      <c r="A9" s="44"/>
      <c r="B9" s="44"/>
      <c r="C9" s="44"/>
      <c r="D9" s="44"/>
      <c r="E9" s="44"/>
      <c r="F9" s="44"/>
      <c r="G9" s="44"/>
      <c r="H9" s="44"/>
      <c r="I9" s="44"/>
      <c r="J9" s="44"/>
      <c r="K9" s="44"/>
      <c r="L9" s="44"/>
      <c r="M9" s="51"/>
      <c r="N9" s="52"/>
      <c r="O9" s="52"/>
      <c r="P9" s="75"/>
      <c r="Q9" s="58"/>
      <c r="R9" s="75"/>
      <c r="S9" s="75"/>
      <c r="T9" s="58"/>
      <c r="U9" s="58"/>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75"/>
      <c r="Q10" s="58"/>
      <c r="R10" s="75"/>
      <c r="S10" s="75"/>
      <c r="T10" s="58"/>
      <c r="U10" s="58"/>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75"/>
      <c r="S11" s="75"/>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75"/>
      <c r="S12" s="75"/>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75"/>
      <c r="S13" s="75"/>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75"/>
      <c r="S14" s="75"/>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75"/>
      <c r="S15" s="75"/>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75"/>
      <c r="S16" s="75"/>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0">B26</f>
        <v>0</v>
      </c>
      <c r="C48" s="43">
        <f t="shared" si="0"/>
        <v>0</v>
      </c>
      <c r="D48" s="43">
        <f t="shared" si="0"/>
        <v>0</v>
      </c>
      <c r="E48" s="43">
        <f t="shared" si="0"/>
        <v>0</v>
      </c>
      <c r="F48" s="43">
        <f t="shared" si="0"/>
        <v>0</v>
      </c>
      <c r="G48" s="43">
        <f t="shared" si="0"/>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1">B48</f>
        <v>0</v>
      </c>
      <c r="C70" s="43">
        <f t="shared" si="1"/>
        <v>0</v>
      </c>
      <c r="D70" s="43">
        <f t="shared" si="1"/>
        <v>0</v>
      </c>
      <c r="E70" s="43">
        <f t="shared" si="1"/>
        <v>0</v>
      </c>
      <c r="F70" s="43">
        <f t="shared" si="1"/>
        <v>0</v>
      </c>
      <c r="G70" s="43">
        <f t="shared" si="1"/>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2">B70</f>
        <v>0</v>
      </c>
      <c r="C92" s="43">
        <f t="shared" si="2"/>
        <v>0</v>
      </c>
      <c r="D92" s="43">
        <f t="shared" si="2"/>
        <v>0</v>
      </c>
      <c r="E92" s="43">
        <f t="shared" si="2"/>
        <v>0</v>
      </c>
      <c r="F92" s="43">
        <f t="shared" si="2"/>
        <v>0</v>
      </c>
      <c r="G92" s="43">
        <f t="shared" si="2"/>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2.1800000000000002</v>
      </c>
      <c r="S114" s="43"/>
      <c r="T114" s="43"/>
      <c r="U114" s="43"/>
      <c r="V114" s="43"/>
      <c r="W114" s="43"/>
      <c r="X114" s="43"/>
      <c r="Y114" s="43">
        <f>Y92+Y70+Y48+Y26++Y4</f>
        <v>0</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D116"/>
  <sheetViews>
    <sheetView topLeftCell="C1" zoomScale="60" zoomScaleNormal="6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成都惠锋新材料科技股份有限公司审计明细表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626</v>
      </c>
      <c r="C4" s="43" t="s">
        <v>52</v>
      </c>
      <c r="D4" s="152" t="s">
        <v>1045</v>
      </c>
      <c r="E4" s="71" t="s">
        <v>54</v>
      </c>
      <c r="F4" s="43" t="s">
        <v>1040</v>
      </c>
      <c r="G4" s="43" t="s">
        <v>1046</v>
      </c>
      <c r="H4" s="71" t="s">
        <v>71</v>
      </c>
      <c r="I4" s="43" t="s">
        <v>553</v>
      </c>
      <c r="J4" s="71" t="s">
        <v>73</v>
      </c>
      <c r="K4" s="71">
        <v>400</v>
      </c>
      <c r="L4" s="43" t="s">
        <v>1047</v>
      </c>
      <c r="M4" s="49" t="s">
        <v>1048</v>
      </c>
      <c r="N4" s="68">
        <v>44875</v>
      </c>
      <c r="O4" s="68">
        <v>45236</v>
      </c>
      <c r="P4" s="43">
        <f>P17-N4</f>
        <v>375</v>
      </c>
      <c r="Q4" s="55">
        <f>SUM(Q5:Q25)</f>
        <v>16.04</v>
      </c>
      <c r="R4" s="55">
        <v>6</v>
      </c>
      <c r="S4" s="43"/>
      <c r="T4" s="55">
        <f>SUM(T5:T25)</f>
        <v>16.66</v>
      </c>
      <c r="U4" s="56">
        <v>0.04</v>
      </c>
      <c r="V4" s="50"/>
      <c r="W4" s="43" t="s">
        <v>1049</v>
      </c>
      <c r="X4" s="77">
        <v>1.4999999999999999E-2</v>
      </c>
      <c r="Y4" s="43">
        <f>ROUNDDOWN(IF((O4-N4+1)*K4*X4/365&gt;R4,R4,(O4-N4+1)*K4*X4/365),2)</f>
        <v>5.95</v>
      </c>
      <c r="Z4" s="55">
        <f>R4-Y4</f>
        <v>0.05</v>
      </c>
      <c r="AA4" s="55" t="s">
        <v>108</v>
      </c>
      <c r="AB4" s="43" t="s">
        <v>61</v>
      </c>
      <c r="AD4" s="61">
        <f>(O4-N4+1)*K4*X4/365</f>
        <v>5.9507000000000003</v>
      </c>
    </row>
    <row r="5" spans="1:30" s="35" customFormat="1">
      <c r="A5" s="44"/>
      <c r="B5" s="44"/>
      <c r="C5" s="44"/>
      <c r="D5" s="44"/>
      <c r="E5" s="42"/>
      <c r="F5" s="44"/>
      <c r="G5" s="44"/>
      <c r="H5" s="42"/>
      <c r="I5" s="44"/>
      <c r="J5" s="42"/>
      <c r="K5" s="42"/>
      <c r="L5" s="44"/>
      <c r="M5" s="51"/>
      <c r="N5" s="52"/>
      <c r="O5" s="52"/>
      <c r="P5" s="75">
        <v>44885</v>
      </c>
      <c r="Q5" s="58">
        <v>0.44</v>
      </c>
      <c r="R5" s="44"/>
      <c r="S5" s="75">
        <v>44885</v>
      </c>
      <c r="T5" s="58">
        <f>(S5-N4)/360*$U$4*$K$4</f>
        <v>0.44</v>
      </c>
      <c r="U5" s="78">
        <f t="shared" ref="U5:U17" si="0">T5-Q5</f>
        <v>0</v>
      </c>
      <c r="V5" s="52">
        <v>45236</v>
      </c>
      <c r="W5" s="58">
        <v>400</v>
      </c>
      <c r="X5" s="42"/>
      <c r="Y5" s="44">
        <f>ROUNDDOWN((V5-N4)*K4*X4/365,2)</f>
        <v>5.93</v>
      </c>
      <c r="Z5" s="44"/>
      <c r="AA5" s="44"/>
      <c r="AB5" s="44"/>
    </row>
    <row r="6" spans="1:30" s="35" customFormat="1">
      <c r="A6" s="44"/>
      <c r="B6" s="44"/>
      <c r="C6" s="44"/>
      <c r="D6" s="44"/>
      <c r="E6" s="42"/>
      <c r="F6" s="44"/>
      <c r="G6" s="44"/>
      <c r="H6" s="42"/>
      <c r="I6" s="44"/>
      <c r="J6" s="42"/>
      <c r="K6" s="42"/>
      <c r="L6" s="44"/>
      <c r="M6" s="51"/>
      <c r="N6" s="52"/>
      <c r="O6" s="52"/>
      <c r="P6" s="75">
        <v>44915</v>
      </c>
      <c r="Q6" s="58">
        <v>1.33</v>
      </c>
      <c r="R6" s="44"/>
      <c r="S6" s="75">
        <v>44915</v>
      </c>
      <c r="T6" s="58">
        <f t="shared" ref="T6:T17" si="1">(S6-S5)*$K$4*$U$4/360</f>
        <v>1.33</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44946</v>
      </c>
      <c r="Q7" s="58">
        <v>1.38</v>
      </c>
      <c r="R7" s="44"/>
      <c r="S7" s="75">
        <v>44946</v>
      </c>
      <c r="T7" s="58">
        <f t="shared" si="1"/>
        <v>1.38</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44977</v>
      </c>
      <c r="Q8" s="58">
        <v>1.38</v>
      </c>
      <c r="R8" s="44"/>
      <c r="S8" s="75">
        <v>44977</v>
      </c>
      <c r="T8" s="58">
        <f t="shared" si="1"/>
        <v>1.38</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45005</v>
      </c>
      <c r="Q9" s="58">
        <v>1.24</v>
      </c>
      <c r="R9" s="44"/>
      <c r="S9" s="75">
        <v>45005</v>
      </c>
      <c r="T9" s="58">
        <f t="shared" si="1"/>
        <v>1.24</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45036</v>
      </c>
      <c r="Q10" s="58">
        <v>1.38</v>
      </c>
      <c r="R10" s="44"/>
      <c r="S10" s="75">
        <v>45036</v>
      </c>
      <c r="T10" s="58">
        <f t="shared" si="1"/>
        <v>1.38</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45066</v>
      </c>
      <c r="Q11" s="58">
        <v>1.33</v>
      </c>
      <c r="R11" s="44"/>
      <c r="S11" s="75">
        <v>45066</v>
      </c>
      <c r="T11" s="58">
        <f t="shared" si="1"/>
        <v>1.33</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45097</v>
      </c>
      <c r="Q12" s="58">
        <v>1.38</v>
      </c>
      <c r="R12" s="44"/>
      <c r="S12" s="75">
        <v>45097</v>
      </c>
      <c r="T12" s="58">
        <f t="shared" si="1"/>
        <v>1.38</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45127</v>
      </c>
      <c r="Q13" s="58">
        <v>1.33</v>
      </c>
      <c r="R13" s="44"/>
      <c r="S13" s="75">
        <v>45127</v>
      </c>
      <c r="T13" s="58">
        <f t="shared" si="1"/>
        <v>1.33</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45158</v>
      </c>
      <c r="Q14" s="58">
        <v>1.38</v>
      </c>
      <c r="R14" s="44"/>
      <c r="S14" s="75">
        <v>45158</v>
      </c>
      <c r="T14" s="58">
        <f t="shared" si="1"/>
        <v>1.38</v>
      </c>
      <c r="U14" s="78">
        <f t="shared" si="0"/>
        <v>0</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45189</v>
      </c>
      <c r="Q15" s="58">
        <v>1.38</v>
      </c>
      <c r="R15" s="44"/>
      <c r="S15" s="75">
        <v>45189</v>
      </c>
      <c r="T15" s="58">
        <f t="shared" si="1"/>
        <v>1.38</v>
      </c>
      <c r="U15" s="78">
        <f t="shared" si="0"/>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45219</v>
      </c>
      <c r="Q16" s="58">
        <v>1.33</v>
      </c>
      <c r="R16" s="44"/>
      <c r="S16" s="75">
        <v>45219</v>
      </c>
      <c r="T16" s="58">
        <f t="shared" si="1"/>
        <v>1.33</v>
      </c>
      <c r="U16" s="78">
        <f t="shared" si="0"/>
        <v>0</v>
      </c>
      <c r="V16" s="44"/>
      <c r="W16" s="44"/>
      <c r="X16" s="42"/>
      <c r="Y16" s="44"/>
      <c r="Z16" s="44"/>
      <c r="AA16" s="44"/>
      <c r="AB16" s="44"/>
    </row>
    <row r="17" spans="1:28" s="35" customFormat="1">
      <c r="A17" s="44"/>
      <c r="B17" s="44"/>
      <c r="C17" s="44"/>
      <c r="D17" s="44"/>
      <c r="E17" s="42"/>
      <c r="F17" s="44"/>
      <c r="G17" s="44"/>
      <c r="H17" s="42"/>
      <c r="I17" s="44"/>
      <c r="J17" s="42"/>
      <c r="K17" s="42"/>
      <c r="L17" s="44"/>
      <c r="M17" s="51"/>
      <c r="N17" s="52"/>
      <c r="O17" s="52"/>
      <c r="P17" s="75">
        <v>45250</v>
      </c>
      <c r="Q17" s="58">
        <v>0.76</v>
      </c>
      <c r="R17" s="44"/>
      <c r="S17" s="75">
        <v>45250</v>
      </c>
      <c r="T17" s="58">
        <f t="shared" si="1"/>
        <v>1.38</v>
      </c>
      <c r="U17" s="58">
        <f t="shared" si="0"/>
        <v>0.62</v>
      </c>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400</v>
      </c>
      <c r="L114" s="43"/>
      <c r="M114" s="49"/>
      <c r="N114" s="50"/>
      <c r="O114" s="50"/>
      <c r="P114" s="76"/>
      <c r="Q114" s="43"/>
      <c r="R114" s="43">
        <f>R92+R70+R48+R26++R4</f>
        <v>6</v>
      </c>
      <c r="S114" s="43"/>
      <c r="T114" s="43"/>
      <c r="U114" s="43"/>
      <c r="V114" s="43"/>
      <c r="W114" s="43"/>
      <c r="X114" s="71"/>
      <c r="Y114" s="43">
        <f>Y92+Y70+Y48+Y26++Y4</f>
        <v>5.95</v>
      </c>
      <c r="Z114" s="43"/>
      <c r="AA114" s="43"/>
      <c r="AB114" s="43"/>
    </row>
    <row r="115" spans="1:28">
      <c r="I115" s="36" t="s">
        <v>49</v>
      </c>
      <c r="K115" s="72">
        <f>IF(K114&gt;3000,K116,K114)</f>
        <v>400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D116"/>
  <sheetViews>
    <sheetView topLeftCell="I1" zoomScale="70" zoomScaleNormal="70" workbookViewId="0">
      <pane ySplit="3" topLeftCell="A4" activePane="bottomLeft" state="frozen"/>
      <selection pane="bottomLeft" activeCell="O6" sqref="O6"/>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成都万江港利科技股份有限公司审计明细表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668</v>
      </c>
      <c r="C4" s="43" t="s">
        <v>52</v>
      </c>
      <c r="D4" s="152" t="s">
        <v>1050</v>
      </c>
      <c r="E4" s="71" t="s">
        <v>54</v>
      </c>
      <c r="F4" s="43" t="s">
        <v>1040</v>
      </c>
      <c r="G4" s="43" t="s">
        <v>1051</v>
      </c>
      <c r="H4" s="71" t="s">
        <v>71</v>
      </c>
      <c r="I4" s="43" t="s">
        <v>148</v>
      </c>
      <c r="J4" s="71" t="s">
        <v>294</v>
      </c>
      <c r="K4" s="71">
        <v>700</v>
      </c>
      <c r="L4" s="43" t="s">
        <v>1052</v>
      </c>
      <c r="M4" s="49" t="s">
        <v>1053</v>
      </c>
      <c r="N4" s="68">
        <v>44945</v>
      </c>
      <c r="O4" s="50">
        <v>45291</v>
      </c>
      <c r="P4" s="43">
        <f>P18-N4</f>
        <v>398</v>
      </c>
      <c r="Q4" s="55">
        <f>SUM(Q5:Q25)</f>
        <v>34.36</v>
      </c>
      <c r="R4" s="55">
        <v>10.5</v>
      </c>
      <c r="S4" s="43"/>
      <c r="T4" s="55">
        <f>SUM(T5:T25)</f>
        <v>34.840000000000003</v>
      </c>
      <c r="U4" s="56">
        <v>4.4999999999999998E-2</v>
      </c>
      <c r="V4" s="50"/>
      <c r="W4" s="43" t="s">
        <v>42</v>
      </c>
      <c r="X4" s="77">
        <v>1.4999999999999999E-2</v>
      </c>
      <c r="Y4" s="43">
        <f>ROUNDDOWN(IF((O4-N4+1)*K4*X4/365&gt;R4,R4,(O4-N4+1)*K4*X4/365),2)</f>
        <v>9.98</v>
      </c>
      <c r="Z4" s="55">
        <f>R4-Y4</f>
        <v>0.52</v>
      </c>
      <c r="AA4" s="55" t="s">
        <v>126</v>
      </c>
      <c r="AB4" s="43" t="s">
        <v>61</v>
      </c>
      <c r="AD4" s="61">
        <f>(O4-N4+1)*K4*X4/365</f>
        <v>9.9822000000000006</v>
      </c>
    </row>
    <row r="5" spans="1:30" s="35" customFormat="1">
      <c r="A5" s="44"/>
      <c r="B5" s="44"/>
      <c r="C5" s="44"/>
      <c r="D5" s="44"/>
      <c r="E5" s="42"/>
      <c r="F5" s="44"/>
      <c r="G5" s="44"/>
      <c r="H5" s="42"/>
      <c r="I5" s="44"/>
      <c r="J5" s="42"/>
      <c r="K5" s="42"/>
      <c r="L5" s="44"/>
      <c r="M5" s="51"/>
      <c r="N5" s="52"/>
      <c r="O5" s="50">
        <v>45672</v>
      </c>
      <c r="P5" s="75">
        <v>44978</v>
      </c>
      <c r="Q5" s="58">
        <v>2.89</v>
      </c>
      <c r="R5" s="44"/>
      <c r="S5" s="75">
        <v>44978</v>
      </c>
      <c r="T5" s="58">
        <f>(S5-N4)/360*$U$4*$K$4</f>
        <v>2.89</v>
      </c>
      <c r="U5" s="78">
        <f t="shared" ref="U5:U18" si="0">T5-Q5</f>
        <v>0</v>
      </c>
      <c r="V5" s="52"/>
      <c r="W5" s="58"/>
      <c r="X5" s="42"/>
      <c r="Y5" s="44">
        <f>ROUNDDOWN((V5-N4)*K4*X4/365,2)</f>
        <v>-1292.93</v>
      </c>
      <c r="Z5" s="44"/>
      <c r="AA5" s="44"/>
      <c r="AB5" s="44"/>
    </row>
    <row r="6" spans="1:30" s="35" customFormat="1">
      <c r="A6" s="44"/>
      <c r="B6" s="44"/>
      <c r="C6" s="44"/>
      <c r="D6" s="44"/>
      <c r="E6" s="42"/>
      <c r="F6" s="44"/>
      <c r="G6" s="44"/>
      <c r="H6" s="42"/>
      <c r="I6" s="44"/>
      <c r="J6" s="42"/>
      <c r="K6" s="42"/>
      <c r="L6" s="44"/>
      <c r="M6" s="51"/>
      <c r="N6" s="52"/>
      <c r="O6" s="52"/>
      <c r="P6" s="75">
        <v>45006</v>
      </c>
      <c r="Q6" s="58">
        <v>2.4500000000000002</v>
      </c>
      <c r="R6" s="44"/>
      <c r="S6" s="75">
        <v>45006</v>
      </c>
      <c r="T6" s="58">
        <f t="shared" ref="T6:T18" si="1">(S6-S5)*$K$4*$U$4/360</f>
        <v>2.4500000000000002</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45037</v>
      </c>
      <c r="Q7" s="58">
        <v>2.71</v>
      </c>
      <c r="R7" s="44"/>
      <c r="S7" s="75">
        <v>45037</v>
      </c>
      <c r="T7" s="58">
        <f t="shared" si="1"/>
        <v>2.71</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45067</v>
      </c>
      <c r="Q8" s="58">
        <v>2.63</v>
      </c>
      <c r="R8" s="44"/>
      <c r="S8" s="75">
        <v>45067</v>
      </c>
      <c r="T8" s="58">
        <f t="shared" si="1"/>
        <v>2.63</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45098</v>
      </c>
      <c r="Q9" s="58">
        <v>2.71</v>
      </c>
      <c r="R9" s="44"/>
      <c r="S9" s="75">
        <v>45098</v>
      </c>
      <c r="T9" s="58">
        <f t="shared" si="1"/>
        <v>2.71</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45128</v>
      </c>
      <c r="Q10" s="58">
        <v>2.63</v>
      </c>
      <c r="R10" s="44"/>
      <c r="S10" s="75">
        <v>45128</v>
      </c>
      <c r="T10" s="58">
        <f t="shared" si="1"/>
        <v>2.63</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45159</v>
      </c>
      <c r="Q11" s="58">
        <v>2.71</v>
      </c>
      <c r="R11" s="44"/>
      <c r="S11" s="75">
        <v>45159</v>
      </c>
      <c r="T11" s="58">
        <f t="shared" si="1"/>
        <v>2.71</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45190</v>
      </c>
      <c r="Q12" s="58">
        <v>2.71</v>
      </c>
      <c r="R12" s="44"/>
      <c r="S12" s="75">
        <v>45190</v>
      </c>
      <c r="T12" s="58">
        <f t="shared" si="1"/>
        <v>2.71</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45220</v>
      </c>
      <c r="Q13" s="58">
        <v>2.63</v>
      </c>
      <c r="R13" s="44"/>
      <c r="S13" s="75">
        <v>45220</v>
      </c>
      <c r="T13" s="58">
        <f t="shared" si="1"/>
        <v>2.63</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45251</v>
      </c>
      <c r="Q14" s="58">
        <v>2.71</v>
      </c>
      <c r="R14" s="44"/>
      <c r="S14" s="75">
        <v>45251</v>
      </c>
      <c r="T14" s="58">
        <f t="shared" si="1"/>
        <v>2.71</v>
      </c>
      <c r="U14" s="78">
        <f t="shared" si="0"/>
        <v>0</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45281</v>
      </c>
      <c r="Q15" s="58">
        <v>2.63</v>
      </c>
      <c r="R15" s="44"/>
      <c r="S15" s="75">
        <v>45281</v>
      </c>
      <c r="T15" s="58">
        <f t="shared" si="1"/>
        <v>2.63</v>
      </c>
      <c r="U15" s="78">
        <f t="shared" si="0"/>
        <v>0</v>
      </c>
      <c r="V15" s="44"/>
      <c r="W15" s="44"/>
      <c r="X15" s="42"/>
      <c r="Y15" s="44"/>
      <c r="Z15" s="44"/>
      <c r="AA15" s="44"/>
      <c r="AB15" s="44"/>
    </row>
    <row r="16" spans="1:30" s="104" customFormat="1">
      <c r="A16" s="63"/>
      <c r="B16" s="63"/>
      <c r="C16" s="63"/>
      <c r="D16" s="63"/>
      <c r="E16" s="105"/>
      <c r="F16" s="63"/>
      <c r="G16" s="63"/>
      <c r="H16" s="105"/>
      <c r="I16" s="63"/>
      <c r="J16" s="105"/>
      <c r="K16" s="105"/>
      <c r="L16" s="63"/>
      <c r="M16" s="70"/>
      <c r="N16" s="106"/>
      <c r="O16" s="106"/>
      <c r="P16" s="107">
        <v>45306</v>
      </c>
      <c r="Q16" s="108">
        <v>0.31</v>
      </c>
      <c r="R16" s="63"/>
      <c r="S16" s="107">
        <v>45306</v>
      </c>
      <c r="T16" s="108">
        <f t="shared" si="1"/>
        <v>2.19</v>
      </c>
      <c r="U16" s="108">
        <f t="shared" si="0"/>
        <v>1.88</v>
      </c>
      <c r="V16" s="63"/>
      <c r="W16" s="63"/>
      <c r="X16" s="105"/>
      <c r="Y16" s="63"/>
      <c r="Z16" s="63"/>
      <c r="AA16" s="63"/>
      <c r="AB16" s="63"/>
    </row>
    <row r="17" spans="1:28" s="104" customFormat="1">
      <c r="A17" s="63"/>
      <c r="B17" s="63"/>
      <c r="C17" s="63"/>
      <c r="D17" s="63"/>
      <c r="E17" s="105"/>
      <c r="F17" s="63"/>
      <c r="G17" s="63"/>
      <c r="H17" s="105"/>
      <c r="I17" s="63"/>
      <c r="J17" s="105"/>
      <c r="K17" s="105"/>
      <c r="L17" s="63"/>
      <c r="M17" s="70"/>
      <c r="N17" s="106"/>
      <c r="O17" s="106"/>
      <c r="P17" s="107">
        <v>45312</v>
      </c>
      <c r="Q17" s="108">
        <v>2.3199999999999998</v>
      </c>
      <c r="R17" s="63"/>
      <c r="S17" s="107">
        <v>45312</v>
      </c>
      <c r="T17" s="108">
        <f t="shared" si="1"/>
        <v>0.53</v>
      </c>
      <c r="U17" s="108">
        <f t="shared" si="0"/>
        <v>-1.79</v>
      </c>
      <c r="V17" s="63"/>
      <c r="W17" s="63"/>
      <c r="X17" s="105"/>
      <c r="Y17" s="63"/>
      <c r="Z17" s="63"/>
      <c r="AA17" s="63"/>
      <c r="AB17" s="63"/>
    </row>
    <row r="18" spans="1:28" s="104" customFormat="1">
      <c r="A18" s="63"/>
      <c r="B18" s="63"/>
      <c r="C18" s="63"/>
      <c r="D18" s="63"/>
      <c r="E18" s="105"/>
      <c r="F18" s="63"/>
      <c r="G18" s="63"/>
      <c r="H18" s="105"/>
      <c r="I18" s="63"/>
      <c r="J18" s="105"/>
      <c r="K18" s="105"/>
      <c r="L18" s="63"/>
      <c r="M18" s="70"/>
      <c r="N18" s="106"/>
      <c r="O18" s="106"/>
      <c r="P18" s="107">
        <v>45343</v>
      </c>
      <c r="Q18" s="108">
        <v>2.3199999999999998</v>
      </c>
      <c r="R18" s="63"/>
      <c r="S18" s="107">
        <v>45343</v>
      </c>
      <c r="T18" s="108">
        <f t="shared" si="1"/>
        <v>2.71</v>
      </c>
      <c r="U18" s="108">
        <f t="shared" si="0"/>
        <v>0.39</v>
      </c>
      <c r="V18" s="63"/>
      <c r="W18" s="63"/>
      <c r="X18" s="105"/>
      <c r="Y18" s="63"/>
      <c r="Z18" s="63"/>
      <c r="AA18" s="63"/>
      <c r="AB18" s="63"/>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700</v>
      </c>
      <c r="L114" s="43"/>
      <c r="M114" s="49"/>
      <c r="N114" s="50"/>
      <c r="O114" s="50"/>
      <c r="P114" s="76"/>
      <c r="Q114" s="43"/>
      <c r="R114" s="43">
        <f>R92+R70+R48+R26++R4</f>
        <v>10.5</v>
      </c>
      <c r="S114" s="43"/>
      <c r="T114" s="43"/>
      <c r="U114" s="43"/>
      <c r="V114" s="43"/>
      <c r="W114" s="43"/>
      <c r="X114" s="71"/>
      <c r="Y114" s="43">
        <f>Y92+Y70+Y48+Y26++Y4</f>
        <v>9.98</v>
      </c>
      <c r="Z114" s="43"/>
      <c r="AA114" s="43"/>
      <c r="AB114" s="43"/>
    </row>
    <row r="115" spans="1:28">
      <c r="I115" s="36" t="s">
        <v>49</v>
      </c>
      <c r="K115" s="72">
        <f>IF(K114&gt;3000,K116,K114)</f>
        <v>700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D116"/>
  <sheetViews>
    <sheetView topLeftCell="C1" zoomScale="60" zoomScaleNormal="60" workbookViewId="0">
      <pane ySplit="3" topLeftCell="A9" activePane="bottomLeft" state="frozen"/>
      <selection pane="bottomLeft" activeCell="AA26" sqref="AA26"/>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四川省三物科技有限公司审计明细表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84">
      <c r="A4" s="43">
        <v>1</v>
      </c>
      <c r="B4" s="43" t="s">
        <v>721</v>
      </c>
      <c r="C4" s="43" t="s">
        <v>1054</v>
      </c>
      <c r="D4" s="152" t="s">
        <v>1055</v>
      </c>
      <c r="E4" s="43" t="s">
        <v>146</v>
      </c>
      <c r="F4" s="43" t="s">
        <v>1040</v>
      </c>
      <c r="G4" s="43" t="s">
        <v>1056</v>
      </c>
      <c r="H4" s="71" t="s">
        <v>37</v>
      </c>
      <c r="I4" s="43" t="s">
        <v>450</v>
      </c>
      <c r="J4" s="71" t="s">
        <v>73</v>
      </c>
      <c r="K4" s="71">
        <v>300</v>
      </c>
      <c r="L4" s="43" t="s">
        <v>1057</v>
      </c>
      <c r="M4" s="49" t="s">
        <v>1058</v>
      </c>
      <c r="N4" s="68">
        <v>44705</v>
      </c>
      <c r="O4" s="50">
        <v>45065</v>
      </c>
      <c r="P4" s="43">
        <f>P5-N4</f>
        <v>28</v>
      </c>
      <c r="Q4" s="55">
        <f>SUM(Q5:Q25)</f>
        <v>11.52</v>
      </c>
      <c r="R4" s="55">
        <v>3</v>
      </c>
      <c r="S4" s="43"/>
      <c r="T4" s="55">
        <f>SUM(T5:T19)</f>
        <v>11.52</v>
      </c>
      <c r="U4" s="56">
        <v>3.85E-2</v>
      </c>
      <c r="V4" s="50"/>
      <c r="W4" s="43" t="s">
        <v>42</v>
      </c>
      <c r="X4" s="57">
        <v>0.01</v>
      </c>
      <c r="Y4" s="43">
        <f>ROUNDDOWN(IF((O4-N4+1)*K4*X4/365&gt;R4,R4,(O4-N4+1)*K4*X4/365),2)</f>
        <v>2.96</v>
      </c>
      <c r="Z4" s="55">
        <f>R4-Y4</f>
        <v>0.04</v>
      </c>
      <c r="AA4" s="55" t="s">
        <v>126</v>
      </c>
      <c r="AB4" s="43" t="s">
        <v>915</v>
      </c>
      <c r="AD4" s="61">
        <f>(O4-N4+1)*K4*X4/365</f>
        <v>2.9670999999999998</v>
      </c>
    </row>
    <row r="5" spans="1:30" s="35" customFormat="1">
      <c r="A5" s="44"/>
      <c r="B5" s="44"/>
      <c r="C5" s="44"/>
      <c r="D5" s="44"/>
      <c r="E5" s="44"/>
      <c r="F5" s="44"/>
      <c r="G5" s="44"/>
      <c r="H5" s="42"/>
      <c r="I5" s="44"/>
      <c r="J5" s="42"/>
      <c r="K5" s="42"/>
      <c r="L5" s="44"/>
      <c r="M5" s="51"/>
      <c r="N5" s="52"/>
      <c r="O5" s="52"/>
      <c r="P5" s="75">
        <v>44733</v>
      </c>
      <c r="Q5" s="58">
        <v>0.9</v>
      </c>
      <c r="R5" s="44"/>
      <c r="S5" s="75">
        <v>44733</v>
      </c>
      <c r="T5" s="58">
        <f>(S5-N4)/360*$U$4*$K$4</f>
        <v>0.9</v>
      </c>
      <c r="U5" s="78">
        <f t="shared" ref="U5:U16" si="0">T5-Q5</f>
        <v>0</v>
      </c>
      <c r="V5" s="52"/>
      <c r="W5" s="44"/>
      <c r="X5" s="44"/>
      <c r="Y5" s="44">
        <f>ROUNDDOWN((V5-N4)*K4*X4/365,2)</f>
        <v>-367.43</v>
      </c>
      <c r="Z5" s="44"/>
      <c r="AA5" s="44"/>
      <c r="AB5" s="44"/>
    </row>
    <row r="6" spans="1:30" s="35" customFormat="1">
      <c r="A6" s="44"/>
      <c r="B6" s="44"/>
      <c r="C6" s="44"/>
      <c r="D6" s="44"/>
      <c r="E6" s="44"/>
      <c r="F6" s="44"/>
      <c r="G6" s="44"/>
      <c r="H6" s="42"/>
      <c r="I6" s="44"/>
      <c r="J6" s="42"/>
      <c r="K6" s="42"/>
      <c r="L6" s="44"/>
      <c r="M6" s="51"/>
      <c r="N6" s="52"/>
      <c r="O6" s="52"/>
      <c r="P6" s="75">
        <v>44763</v>
      </c>
      <c r="Q6" s="58">
        <v>0.96</v>
      </c>
      <c r="R6" s="44"/>
      <c r="S6" s="75">
        <v>44763</v>
      </c>
      <c r="T6" s="58">
        <f t="shared" ref="T6:T16" si="1">(S6-S5)*$K$4*$U$4/360</f>
        <v>0.96</v>
      </c>
      <c r="U6" s="78">
        <f t="shared" si="0"/>
        <v>0</v>
      </c>
      <c r="V6" s="44"/>
      <c r="W6" s="44"/>
      <c r="X6" s="44"/>
      <c r="Y6" s="44"/>
      <c r="Z6" s="44"/>
      <c r="AA6" s="44"/>
      <c r="AB6" s="44"/>
    </row>
    <row r="7" spans="1:30" s="35" customFormat="1">
      <c r="A7" s="44"/>
      <c r="B7" s="44"/>
      <c r="C7" s="44"/>
      <c r="D7" s="44"/>
      <c r="E7" s="44"/>
      <c r="F7" s="44"/>
      <c r="G7" s="44"/>
      <c r="H7" s="42"/>
      <c r="I7" s="44"/>
      <c r="J7" s="42"/>
      <c r="K7" s="42"/>
      <c r="L7" s="44"/>
      <c r="M7" s="51"/>
      <c r="N7" s="52"/>
      <c r="O7" s="52"/>
      <c r="P7" s="75">
        <v>44794</v>
      </c>
      <c r="Q7" s="58">
        <v>0.99</v>
      </c>
      <c r="R7" s="44"/>
      <c r="S7" s="75">
        <v>44794</v>
      </c>
      <c r="T7" s="58">
        <f t="shared" si="1"/>
        <v>0.99</v>
      </c>
      <c r="U7" s="78">
        <f t="shared" si="0"/>
        <v>0</v>
      </c>
      <c r="V7" s="44"/>
      <c r="W7" s="44"/>
      <c r="X7" s="44"/>
      <c r="Y7" s="44"/>
      <c r="Z7" s="44"/>
      <c r="AA7" s="44"/>
      <c r="AB7" s="44"/>
    </row>
    <row r="8" spans="1:30" s="35" customFormat="1">
      <c r="A8" s="44"/>
      <c r="B8" s="44"/>
      <c r="C8" s="44"/>
      <c r="D8" s="44"/>
      <c r="E8" s="44"/>
      <c r="F8" s="44"/>
      <c r="G8" s="44"/>
      <c r="H8" s="42"/>
      <c r="I8" s="44"/>
      <c r="J8" s="42"/>
      <c r="K8" s="42"/>
      <c r="L8" s="44"/>
      <c r="M8" s="51"/>
      <c r="N8" s="52"/>
      <c r="O8" s="52"/>
      <c r="P8" s="75">
        <v>44825</v>
      </c>
      <c r="Q8" s="58">
        <v>0.99</v>
      </c>
      <c r="R8" s="44"/>
      <c r="S8" s="75">
        <v>44825</v>
      </c>
      <c r="T8" s="58">
        <f t="shared" si="1"/>
        <v>0.99</v>
      </c>
      <c r="U8" s="78">
        <f t="shared" si="0"/>
        <v>0</v>
      </c>
      <c r="V8" s="44"/>
      <c r="W8" s="44"/>
      <c r="X8" s="44"/>
      <c r="Y8" s="44"/>
      <c r="Z8" s="44"/>
      <c r="AA8" s="44"/>
      <c r="AB8" s="44"/>
    </row>
    <row r="9" spans="1:30" s="35" customFormat="1">
      <c r="A9" s="44"/>
      <c r="B9" s="44"/>
      <c r="C9" s="44"/>
      <c r="D9" s="44"/>
      <c r="E9" s="44"/>
      <c r="F9" s="44"/>
      <c r="G9" s="44"/>
      <c r="H9" s="42"/>
      <c r="I9" s="44"/>
      <c r="J9" s="42"/>
      <c r="K9" s="42"/>
      <c r="L9" s="44"/>
      <c r="M9" s="51"/>
      <c r="N9" s="52"/>
      <c r="O9" s="52"/>
      <c r="P9" s="75">
        <v>44855</v>
      </c>
      <c r="Q9" s="58">
        <v>0.96</v>
      </c>
      <c r="R9" s="44"/>
      <c r="S9" s="75">
        <v>44855</v>
      </c>
      <c r="T9" s="58">
        <f t="shared" si="1"/>
        <v>0.96</v>
      </c>
      <c r="U9" s="78">
        <f t="shared" si="0"/>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52"/>
      <c r="P10" s="75">
        <v>44886</v>
      </c>
      <c r="Q10" s="58">
        <v>0.99</v>
      </c>
      <c r="R10" s="44"/>
      <c r="S10" s="75">
        <v>44886</v>
      </c>
      <c r="T10" s="58">
        <f t="shared" si="1"/>
        <v>0.99</v>
      </c>
      <c r="U10" s="78">
        <f t="shared" si="0"/>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44916</v>
      </c>
      <c r="Q11" s="58">
        <v>0.96</v>
      </c>
      <c r="R11" s="44"/>
      <c r="S11" s="75">
        <v>44916</v>
      </c>
      <c r="T11" s="58">
        <f t="shared" si="1"/>
        <v>0.96</v>
      </c>
      <c r="U11" s="78">
        <f t="shared" si="0"/>
        <v>0</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44947</v>
      </c>
      <c r="Q12" s="58">
        <v>0.99</v>
      </c>
      <c r="R12" s="44"/>
      <c r="S12" s="75">
        <v>44947</v>
      </c>
      <c r="T12" s="58">
        <f t="shared" si="1"/>
        <v>0.99</v>
      </c>
      <c r="U12" s="78">
        <f t="shared" si="0"/>
        <v>0</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44978</v>
      </c>
      <c r="Q13" s="58">
        <v>0.99</v>
      </c>
      <c r="R13" s="44"/>
      <c r="S13" s="75">
        <v>44978</v>
      </c>
      <c r="T13" s="58">
        <f t="shared" si="1"/>
        <v>0.99</v>
      </c>
      <c r="U13" s="78">
        <f t="shared" si="0"/>
        <v>0</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45006</v>
      </c>
      <c r="Q14" s="58">
        <v>0.9</v>
      </c>
      <c r="R14" s="44"/>
      <c r="S14" s="75">
        <v>45006</v>
      </c>
      <c r="T14" s="58">
        <f t="shared" si="1"/>
        <v>0.9</v>
      </c>
      <c r="U14" s="78">
        <f t="shared" si="0"/>
        <v>0</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45037</v>
      </c>
      <c r="Q15" s="58">
        <v>0.99</v>
      </c>
      <c r="R15" s="44"/>
      <c r="S15" s="75">
        <v>45037</v>
      </c>
      <c r="T15" s="58">
        <f t="shared" si="1"/>
        <v>0.99</v>
      </c>
      <c r="U15" s="78">
        <f t="shared" si="0"/>
        <v>0</v>
      </c>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v>45065</v>
      </c>
      <c r="Q16" s="58">
        <v>0.9</v>
      </c>
      <c r="R16" s="44"/>
      <c r="S16" s="75">
        <v>45065</v>
      </c>
      <c r="T16" s="58">
        <f t="shared" si="1"/>
        <v>0.9</v>
      </c>
      <c r="U16" s="78">
        <f t="shared" si="0"/>
        <v>0</v>
      </c>
      <c r="V16" s="44"/>
      <c r="W16" s="44"/>
      <c r="X16" s="44"/>
      <c r="Y16" s="44"/>
      <c r="Z16" s="44"/>
      <c r="AA16" s="44"/>
      <c r="AB16" s="44"/>
    </row>
    <row r="17" spans="1:28" s="35" customFormat="1" hidden="1">
      <c r="A17" s="44"/>
      <c r="B17" s="44"/>
      <c r="C17" s="44"/>
      <c r="D17" s="44"/>
      <c r="E17" s="44"/>
      <c r="F17" s="44"/>
      <c r="G17" s="44"/>
      <c r="H17" s="42"/>
      <c r="I17" s="44"/>
      <c r="J17" s="42"/>
      <c r="K17" s="42"/>
      <c r="L17" s="44"/>
      <c r="M17" s="51"/>
      <c r="N17" s="52"/>
      <c r="O17" s="52"/>
      <c r="P17" s="75"/>
      <c r="Q17" s="58"/>
      <c r="R17" s="44"/>
      <c r="S17" s="75"/>
      <c r="T17" s="58"/>
      <c r="U17" s="58"/>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75"/>
      <c r="T18" s="58">
        <f>(S18-S17)*$K$4*$U$4/360</f>
        <v>0</v>
      </c>
      <c r="U18" s="58">
        <f>T18-Q18</f>
        <v>0</v>
      </c>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75"/>
      <c r="T19" s="58">
        <f>(S19-S18)*$K$4*$U$4/360</f>
        <v>0</v>
      </c>
      <c r="U19" s="58">
        <f>T19-Q19</f>
        <v>0</v>
      </c>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721</v>
      </c>
      <c r="C26" s="43" t="s">
        <v>1054</v>
      </c>
      <c r="D26" s="152" t="s">
        <v>1055</v>
      </c>
      <c r="E26" s="43" t="s">
        <v>146</v>
      </c>
      <c r="F26" s="43" t="s">
        <v>1040</v>
      </c>
      <c r="G26" s="43" t="s">
        <v>1056</v>
      </c>
      <c r="H26" s="71" t="s">
        <v>37</v>
      </c>
      <c r="I26" s="43" t="s">
        <v>450</v>
      </c>
      <c r="J26" s="71" t="s">
        <v>73</v>
      </c>
      <c r="K26" s="71">
        <v>100</v>
      </c>
      <c r="L26" s="43" t="s">
        <v>1059</v>
      </c>
      <c r="M26" s="49" t="s">
        <v>1060</v>
      </c>
      <c r="N26" s="50">
        <v>45091</v>
      </c>
      <c r="O26" s="50">
        <v>45229</v>
      </c>
      <c r="P26" s="43">
        <f>P33-N26</f>
        <v>221</v>
      </c>
      <c r="Q26" s="55">
        <f>SUM(Q27:Q38)</f>
        <v>2.21</v>
      </c>
      <c r="R26" s="43">
        <v>0.5</v>
      </c>
      <c r="S26" s="43"/>
      <c r="T26" s="84">
        <f>SUM(T27:T38)</f>
        <v>2.2200000000000002</v>
      </c>
      <c r="U26" s="56">
        <v>3.6499999999999998E-2</v>
      </c>
      <c r="V26" s="50"/>
      <c r="W26" s="43" t="s">
        <v>42</v>
      </c>
      <c r="X26" s="57">
        <v>0.01</v>
      </c>
      <c r="Y26" s="43">
        <f>ROUNDDOWN(IF((O26-N26+1)*K26*X26/365&gt;R26,R26,(O26-N26+1)*K26*X26/365),2)</f>
        <v>0.38</v>
      </c>
      <c r="Z26" s="43">
        <f>R26-Y26</f>
        <v>0.12</v>
      </c>
      <c r="AA26" s="43" t="s">
        <v>177</v>
      </c>
      <c r="AB26" s="43" t="s">
        <v>61</v>
      </c>
    </row>
    <row r="27" spans="1:28" s="35" customFormat="1">
      <c r="A27" s="44"/>
      <c r="B27" s="44"/>
      <c r="C27" s="44"/>
      <c r="D27" s="44"/>
      <c r="E27" s="44"/>
      <c r="F27" s="44"/>
      <c r="G27" s="44"/>
      <c r="H27" s="42"/>
      <c r="I27" s="44"/>
      <c r="J27" s="42"/>
      <c r="K27" s="42"/>
      <c r="L27" s="44"/>
      <c r="M27" s="51"/>
      <c r="N27" s="52"/>
      <c r="O27" s="50">
        <v>45455</v>
      </c>
      <c r="P27" s="75">
        <v>45128</v>
      </c>
      <c r="Q27" s="58">
        <v>0.38</v>
      </c>
      <c r="R27" s="44"/>
      <c r="S27" s="75">
        <v>45128</v>
      </c>
      <c r="T27" s="58">
        <f>(S27-N26)/360*$U$26*$K$26</f>
        <v>0.38</v>
      </c>
      <c r="U27" s="78">
        <f t="shared" ref="U27:U33" si="2">T27-Q27</f>
        <v>0</v>
      </c>
      <c r="V27" s="52"/>
      <c r="W27" s="44"/>
      <c r="X27" s="44"/>
      <c r="Y27" s="62">
        <f>ROUNDUP((V27-N26)*K26*X26/365,2)</f>
        <v>-123.54</v>
      </c>
      <c r="Z27" s="44"/>
      <c r="AA27" s="44"/>
      <c r="AB27" s="44"/>
    </row>
    <row r="28" spans="1:28" s="35" customFormat="1">
      <c r="A28" s="44"/>
      <c r="B28" s="44"/>
      <c r="C28" s="44"/>
      <c r="D28" s="44"/>
      <c r="E28" s="44"/>
      <c r="F28" s="44"/>
      <c r="G28" s="44"/>
      <c r="H28" s="42"/>
      <c r="I28" s="44"/>
      <c r="J28" s="42"/>
      <c r="K28" s="42"/>
      <c r="L28" s="44"/>
      <c r="M28" s="51"/>
      <c r="N28" s="52"/>
      <c r="O28" s="52"/>
      <c r="P28" s="75">
        <v>45159</v>
      </c>
      <c r="Q28" s="58">
        <v>0.31</v>
      </c>
      <c r="R28" s="44"/>
      <c r="S28" s="75">
        <v>45159</v>
      </c>
      <c r="T28" s="58">
        <f t="shared" ref="T28:T33" si="3">(S28-S27)*$U$26*$K$26/360</f>
        <v>0.31</v>
      </c>
      <c r="U28" s="78">
        <f t="shared" si="2"/>
        <v>0</v>
      </c>
      <c r="V28" s="44"/>
      <c r="W28" s="44"/>
      <c r="X28" s="44"/>
      <c r="Y28" s="62">
        <f>ROUNDUP((O26-V27+1)*(K26-W27)*X26/365,2)</f>
        <v>123.92</v>
      </c>
      <c r="Z28" s="44"/>
      <c r="AA28" s="44"/>
      <c r="AB28" s="44"/>
    </row>
    <row r="29" spans="1:28" s="35" customFormat="1">
      <c r="A29" s="44"/>
      <c r="B29" s="44"/>
      <c r="C29" s="44"/>
      <c r="D29" s="44"/>
      <c r="E29" s="44"/>
      <c r="F29" s="44"/>
      <c r="G29" s="44"/>
      <c r="H29" s="42"/>
      <c r="I29" s="44"/>
      <c r="J29" s="42"/>
      <c r="K29" s="42"/>
      <c r="L29" s="44"/>
      <c r="M29" s="51"/>
      <c r="N29" s="52"/>
      <c r="O29" s="52"/>
      <c r="P29" s="75">
        <v>45190</v>
      </c>
      <c r="Q29" s="58">
        <v>0.31</v>
      </c>
      <c r="R29" s="44"/>
      <c r="S29" s="75">
        <v>45190</v>
      </c>
      <c r="T29" s="58">
        <f t="shared" si="3"/>
        <v>0.31</v>
      </c>
      <c r="U29" s="78">
        <f t="shared" si="2"/>
        <v>0</v>
      </c>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v>45220</v>
      </c>
      <c r="Q30" s="58">
        <v>0.3</v>
      </c>
      <c r="R30" s="44"/>
      <c r="S30" s="75">
        <v>45220</v>
      </c>
      <c r="T30" s="58">
        <f t="shared" si="3"/>
        <v>0.3</v>
      </c>
      <c r="U30" s="78">
        <f t="shared" si="2"/>
        <v>0</v>
      </c>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v>45251</v>
      </c>
      <c r="Q31" s="58">
        <v>0.31</v>
      </c>
      <c r="R31" s="44"/>
      <c r="S31" s="75">
        <v>45251</v>
      </c>
      <c r="T31" s="58">
        <f t="shared" si="3"/>
        <v>0.31</v>
      </c>
      <c r="U31" s="78">
        <f t="shared" si="2"/>
        <v>0</v>
      </c>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v>45281</v>
      </c>
      <c r="Q32" s="58">
        <v>0.3</v>
      </c>
      <c r="R32" s="44"/>
      <c r="S32" s="75">
        <v>45281</v>
      </c>
      <c r="T32" s="58">
        <f t="shared" si="3"/>
        <v>0.3</v>
      </c>
      <c r="U32" s="78">
        <f t="shared" si="2"/>
        <v>0</v>
      </c>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v>45312</v>
      </c>
      <c r="Q33" s="58">
        <v>0.3</v>
      </c>
      <c r="R33" s="44"/>
      <c r="S33" s="75">
        <v>45312</v>
      </c>
      <c r="T33" s="58">
        <f t="shared" si="3"/>
        <v>0.31</v>
      </c>
      <c r="U33" s="78">
        <f t="shared" si="2"/>
        <v>0.01</v>
      </c>
      <c r="V33" s="44"/>
      <c r="W33" s="44"/>
      <c r="X33" s="44"/>
      <c r="Y33" s="44"/>
      <c r="Z33" s="44"/>
      <c r="AA33" s="44"/>
      <c r="AB33" s="44"/>
    </row>
    <row r="34" spans="1:28" s="35" customFormat="1" hidden="1">
      <c r="A34" s="44"/>
      <c r="B34" s="44"/>
      <c r="C34" s="44"/>
      <c r="D34" s="44"/>
      <c r="E34" s="44"/>
      <c r="F34" s="44"/>
      <c r="G34" s="44"/>
      <c r="H34" s="42"/>
      <c r="I34" s="44"/>
      <c r="J34" s="42"/>
      <c r="K34" s="42"/>
      <c r="L34" s="44"/>
      <c r="M34" s="51"/>
      <c r="N34" s="52"/>
      <c r="O34" s="52"/>
      <c r="P34" s="75"/>
      <c r="Q34" s="58"/>
      <c r="R34" s="44"/>
      <c r="S34" s="75"/>
      <c r="T34" s="58"/>
      <c r="U34" s="78"/>
      <c r="V34" s="44"/>
      <c r="W34" s="44"/>
      <c r="X34" s="44"/>
      <c r="Y34" s="44"/>
      <c r="Z34" s="44"/>
      <c r="AA34" s="44"/>
      <c r="AB34" s="44"/>
    </row>
    <row r="35" spans="1:28" s="35" customFormat="1" hidden="1">
      <c r="A35" s="44"/>
      <c r="B35" s="44"/>
      <c r="C35" s="44"/>
      <c r="D35" s="44"/>
      <c r="E35" s="44"/>
      <c r="F35" s="44"/>
      <c r="G35" s="44"/>
      <c r="H35" s="42"/>
      <c r="I35" s="44"/>
      <c r="J35" s="42"/>
      <c r="K35" s="42"/>
      <c r="L35" s="44"/>
      <c r="M35" s="51"/>
      <c r="N35" s="52"/>
      <c r="O35" s="52"/>
      <c r="P35" s="75"/>
      <c r="Q35" s="58"/>
      <c r="R35" s="44"/>
      <c r="S35" s="75"/>
      <c r="T35" s="58"/>
      <c r="U35" s="78"/>
      <c r="V35" s="44"/>
      <c r="W35" s="44"/>
      <c r="X35" s="44"/>
      <c r="Y35" s="44"/>
      <c r="Z35" s="44"/>
      <c r="AA35" s="44"/>
      <c r="AB35" s="44"/>
    </row>
    <row r="36" spans="1:28" s="35" customFormat="1" hidden="1">
      <c r="A36" s="44"/>
      <c r="B36" s="44"/>
      <c r="C36" s="44"/>
      <c r="D36" s="44"/>
      <c r="E36" s="44"/>
      <c r="F36" s="44"/>
      <c r="G36" s="44"/>
      <c r="H36" s="42"/>
      <c r="I36" s="44"/>
      <c r="J36" s="42"/>
      <c r="K36" s="42"/>
      <c r="L36" s="44"/>
      <c r="M36" s="51"/>
      <c r="N36" s="52"/>
      <c r="O36" s="52"/>
      <c r="P36" s="75"/>
      <c r="Q36" s="58"/>
      <c r="R36" s="44"/>
      <c r="S36" s="75"/>
      <c r="T36" s="58"/>
      <c r="U36" s="58"/>
      <c r="V36" s="44"/>
      <c r="W36" s="44"/>
      <c r="X36" s="44"/>
      <c r="Y36" s="44"/>
      <c r="Z36" s="44"/>
      <c r="AA36" s="44"/>
      <c r="AB36" s="44"/>
    </row>
    <row r="37" spans="1:28" s="35" customFormat="1" hidden="1">
      <c r="A37" s="44"/>
      <c r="B37" s="44"/>
      <c r="C37" s="44"/>
      <c r="D37" s="44"/>
      <c r="E37" s="44"/>
      <c r="F37" s="44"/>
      <c r="G37" s="44"/>
      <c r="H37" s="42"/>
      <c r="I37" s="44"/>
      <c r="J37" s="42"/>
      <c r="K37" s="42"/>
      <c r="L37" s="44"/>
      <c r="M37" s="51"/>
      <c r="N37" s="52"/>
      <c r="O37" s="52"/>
      <c r="P37" s="75"/>
      <c r="Q37" s="58"/>
      <c r="R37" s="44"/>
      <c r="S37" s="75"/>
      <c r="T37" s="58"/>
      <c r="U37" s="58"/>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75"/>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71"/>
      <c r="I48" s="43"/>
      <c r="J48" s="71"/>
      <c r="K48" s="71"/>
      <c r="L48" s="43"/>
      <c r="M48" s="49"/>
      <c r="N48" s="50"/>
      <c r="O48" s="50"/>
      <c r="P48" s="76"/>
      <c r="Q48" s="55">
        <f>SUM(Q49:Q69)</f>
        <v>0</v>
      </c>
      <c r="R48" s="43"/>
      <c r="S48" s="43"/>
      <c r="T48" s="43"/>
      <c r="U48" s="56"/>
      <c r="V48" s="50"/>
      <c r="W48" s="43"/>
      <c r="X48" s="57"/>
      <c r="Y48" s="43"/>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4">B48</f>
        <v>0</v>
      </c>
      <c r="C70" s="43">
        <f t="shared" si="4"/>
        <v>0</v>
      </c>
      <c r="D70" s="43">
        <f t="shared" si="4"/>
        <v>0</v>
      </c>
      <c r="E70" s="43">
        <f t="shared" si="4"/>
        <v>0</v>
      </c>
      <c r="F70" s="43">
        <f t="shared" si="4"/>
        <v>0</v>
      </c>
      <c r="G70" s="43">
        <f t="shared" si="4"/>
        <v>0</v>
      </c>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5">B70</f>
        <v>0</v>
      </c>
      <c r="C92" s="43">
        <f t="shared" si="5"/>
        <v>0</v>
      </c>
      <c r="D92" s="43">
        <f t="shared" si="5"/>
        <v>0</v>
      </c>
      <c r="E92" s="43">
        <f t="shared" si="5"/>
        <v>0</v>
      </c>
      <c r="F92" s="43">
        <f t="shared" si="5"/>
        <v>0</v>
      </c>
      <c r="G92" s="43">
        <f t="shared" si="5"/>
        <v>0</v>
      </c>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400</v>
      </c>
      <c r="L114" s="43"/>
      <c r="M114" s="49"/>
      <c r="N114" s="50"/>
      <c r="O114" s="50"/>
      <c r="P114" s="76"/>
      <c r="Q114" s="43"/>
      <c r="R114" s="43">
        <f>R92+R70+R48+R26++R4</f>
        <v>3.5</v>
      </c>
      <c r="S114" s="43"/>
      <c r="T114" s="43"/>
      <c r="U114" s="43"/>
      <c r="V114" s="43"/>
      <c r="W114" s="43"/>
      <c r="X114" s="43"/>
      <c r="Y114" s="43">
        <f>Y92+Y70+Y48+Y26++Y4</f>
        <v>3.34</v>
      </c>
      <c r="Z114" s="43"/>
      <c r="AA114" s="43"/>
      <c r="AB114" s="43"/>
    </row>
    <row r="115" spans="1:28">
      <c r="I115" s="36" t="s">
        <v>49</v>
      </c>
      <c r="K115" s="72">
        <f>IF(K114&gt;3000,K116,K114)</f>
        <v>400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D116"/>
  <sheetViews>
    <sheetView topLeftCell="L1" zoomScale="80" zoomScaleNormal="80" workbookViewId="0">
      <pane ySplit="3" topLeftCell="A4" activePane="bottomLeft" state="frozen"/>
      <selection pane="bottomLeft" activeCell="T131" sqref="T131"/>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成都宏明双新科技股份有限公司审计明细表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620</v>
      </c>
      <c r="C4" s="43" t="s">
        <v>52</v>
      </c>
      <c r="D4" s="43" t="s">
        <v>1061</v>
      </c>
      <c r="E4" s="71" t="s">
        <v>1062</v>
      </c>
      <c r="F4" s="43" t="s">
        <v>1040</v>
      </c>
      <c r="G4" s="43" t="s">
        <v>1063</v>
      </c>
      <c r="H4" s="71" t="s">
        <v>467</v>
      </c>
      <c r="I4" s="43" t="s">
        <v>823</v>
      </c>
      <c r="J4" s="71" t="s">
        <v>73</v>
      </c>
      <c r="K4" s="71">
        <v>3000</v>
      </c>
      <c r="L4" s="43" t="s">
        <v>1064</v>
      </c>
      <c r="M4" s="49" t="s">
        <v>1065</v>
      </c>
      <c r="N4" s="50">
        <v>44918</v>
      </c>
      <c r="O4" s="50">
        <v>45282</v>
      </c>
      <c r="P4" s="43">
        <f>P9-N4</f>
        <v>364</v>
      </c>
      <c r="Q4" s="55">
        <f>SUM(Q5:Q25)</f>
        <v>78.58</v>
      </c>
      <c r="R4" s="55">
        <v>60</v>
      </c>
      <c r="S4" s="43"/>
      <c r="T4" s="55">
        <f>SUM(T5:T25)</f>
        <v>78.87</v>
      </c>
      <c r="U4" s="56">
        <v>2.5999999999999999E-2</v>
      </c>
      <c r="V4" s="50"/>
      <c r="W4" s="43" t="s">
        <v>42</v>
      </c>
      <c r="X4" s="77">
        <v>0.02</v>
      </c>
      <c r="Y4" s="43">
        <f>ROUNDDOWN(IF((O4-N4+1)*K4*X4/365&gt;R4,R4,(O4-N4+1)*K4*X4/365),2)</f>
        <v>60</v>
      </c>
      <c r="Z4" s="55">
        <f>R4-Y4</f>
        <v>0</v>
      </c>
      <c r="AA4" s="55"/>
      <c r="AB4" s="43" t="s">
        <v>61</v>
      </c>
      <c r="AD4" s="61">
        <f>(O4-N4+1)*K4*X4/365</f>
        <v>60</v>
      </c>
    </row>
    <row r="5" spans="1:30" s="35" customFormat="1">
      <c r="A5" s="44"/>
      <c r="B5" s="44"/>
      <c r="C5" s="44"/>
      <c r="D5" s="44"/>
      <c r="E5" s="42"/>
      <c r="F5" s="44"/>
      <c r="G5" s="44"/>
      <c r="H5" s="42"/>
      <c r="I5" s="44"/>
      <c r="J5" s="42"/>
      <c r="K5" s="42"/>
      <c r="L5" s="44"/>
      <c r="M5" s="51"/>
      <c r="N5" s="52"/>
      <c r="O5" s="52"/>
      <c r="P5" s="75">
        <v>45006</v>
      </c>
      <c r="Q5" s="58">
        <v>19.07</v>
      </c>
      <c r="R5" s="44"/>
      <c r="S5" s="75">
        <v>45006</v>
      </c>
      <c r="T5" s="58">
        <f>(S5-N4)/360*$U$4*$K$4</f>
        <v>19.07</v>
      </c>
      <c r="U5" s="78">
        <f>T5-Q5</f>
        <v>0</v>
      </c>
      <c r="V5" s="52"/>
      <c r="W5" s="58"/>
      <c r="X5" s="42"/>
      <c r="Y5" s="44">
        <f>ROUNDDOWN((V5-N4)*K4*X4/365,2)</f>
        <v>-7383.78</v>
      </c>
      <c r="Z5" s="44"/>
      <c r="AA5" s="44"/>
      <c r="AB5" s="44"/>
    </row>
    <row r="6" spans="1:30" s="35" customFormat="1">
      <c r="A6" s="44"/>
      <c r="B6" s="44"/>
      <c r="C6" s="44"/>
      <c r="D6" s="44"/>
      <c r="E6" s="42"/>
      <c r="F6" s="44"/>
      <c r="G6" s="44"/>
      <c r="H6" s="42"/>
      <c r="I6" s="44"/>
      <c r="J6" s="42"/>
      <c r="K6" s="42"/>
      <c r="L6" s="44"/>
      <c r="M6" s="51"/>
      <c r="N6" s="52"/>
      <c r="O6" s="52"/>
      <c r="P6" s="75">
        <v>45098</v>
      </c>
      <c r="Q6" s="58">
        <v>19.93</v>
      </c>
      <c r="R6" s="44"/>
      <c r="S6" s="75">
        <v>45098</v>
      </c>
      <c r="T6" s="58">
        <f>(S6-S5)*$K$4*$U$4/360</f>
        <v>19.93</v>
      </c>
      <c r="U6" s="78">
        <f>T6-Q6</f>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45190</v>
      </c>
      <c r="Q7" s="58">
        <v>19.93</v>
      </c>
      <c r="R7" s="44"/>
      <c r="S7" s="75">
        <v>45190</v>
      </c>
      <c r="T7" s="58">
        <f>(S7-S6)*$K$4*$U$4/360</f>
        <v>19.93</v>
      </c>
      <c r="U7" s="78">
        <f>T7-Q7</f>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45281</v>
      </c>
      <c r="Q8" s="58">
        <v>19.45</v>
      </c>
      <c r="R8" s="44"/>
      <c r="S8" s="75">
        <v>45281</v>
      </c>
      <c r="T8" s="58">
        <f>(S8-S7)*$K$4*$U$4/360</f>
        <v>19.72</v>
      </c>
      <c r="U8" s="78">
        <f>T8-Q8</f>
        <v>0.27</v>
      </c>
      <c r="V8" s="75"/>
      <c r="W8" s="58"/>
      <c r="X8" s="42"/>
      <c r="Y8" s="44"/>
      <c r="Z8" s="44"/>
      <c r="AA8" s="44"/>
      <c r="AB8" s="44"/>
    </row>
    <row r="9" spans="1:30" s="35" customFormat="1">
      <c r="A9" s="44"/>
      <c r="B9" s="44"/>
      <c r="C9" s="44"/>
      <c r="D9" s="44"/>
      <c r="E9" s="42"/>
      <c r="F9" s="44"/>
      <c r="G9" s="44"/>
      <c r="H9" s="42"/>
      <c r="I9" s="44"/>
      <c r="J9" s="42"/>
      <c r="K9" s="42"/>
      <c r="L9" s="44"/>
      <c r="M9" s="51"/>
      <c r="N9" s="52"/>
      <c r="O9" s="52"/>
      <c r="P9" s="75">
        <v>45282</v>
      </c>
      <c r="Q9" s="58">
        <v>0.2</v>
      </c>
      <c r="R9" s="44"/>
      <c r="S9" s="75">
        <v>45282</v>
      </c>
      <c r="T9" s="58">
        <f>(S9-S8)*$K$4*$U$4/360</f>
        <v>0.22</v>
      </c>
      <c r="U9" s="78">
        <f>T9-Q9</f>
        <v>0.02</v>
      </c>
      <c r="V9" s="75"/>
      <c r="W9" s="58"/>
      <c r="X9" s="42"/>
      <c r="Y9" s="44"/>
      <c r="Z9" s="44"/>
      <c r="AA9" s="44"/>
      <c r="AB9" s="44"/>
    </row>
    <row r="10" spans="1:30" s="35" customFormat="1" hidden="1">
      <c r="A10" s="44"/>
      <c r="B10" s="44"/>
      <c r="C10" s="44"/>
      <c r="D10" s="44"/>
      <c r="E10" s="42"/>
      <c r="F10" s="44"/>
      <c r="G10" s="44"/>
      <c r="H10" s="42"/>
      <c r="I10" s="44"/>
      <c r="J10" s="42"/>
      <c r="K10" s="42"/>
      <c r="L10" s="44"/>
      <c r="M10" s="51"/>
      <c r="N10" s="52"/>
      <c r="O10" s="52"/>
      <c r="P10" s="75"/>
      <c r="Q10" s="58"/>
      <c r="R10" s="44"/>
      <c r="S10" s="75"/>
      <c r="T10" s="58"/>
      <c r="U10" s="78"/>
      <c r="V10" s="75"/>
      <c r="W10" s="58"/>
      <c r="X10" s="42"/>
      <c r="Y10" s="44"/>
      <c r="Z10" s="44"/>
      <c r="AA10" s="44"/>
      <c r="AB10" s="44"/>
    </row>
    <row r="11" spans="1:30" s="35" customFormat="1" hidden="1">
      <c r="A11" s="44"/>
      <c r="B11" s="44"/>
      <c r="C11" s="44"/>
      <c r="D11" s="44"/>
      <c r="E11" s="42"/>
      <c r="F11" s="44"/>
      <c r="G11" s="44"/>
      <c r="H11" s="42"/>
      <c r="I11" s="44"/>
      <c r="J11" s="42"/>
      <c r="K11" s="42"/>
      <c r="L11" s="44"/>
      <c r="M11" s="51"/>
      <c r="N11" s="52"/>
      <c r="O11" s="52"/>
      <c r="P11" s="75"/>
      <c r="Q11" s="58"/>
      <c r="R11" s="44"/>
      <c r="S11" s="75"/>
      <c r="T11" s="58"/>
      <c r="U11" s="78"/>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v>44978</v>
      </c>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v>45006</v>
      </c>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v>45037</v>
      </c>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v>45067</v>
      </c>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v>45098</v>
      </c>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v>45128</v>
      </c>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v>45159</v>
      </c>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75">
        <v>45190</v>
      </c>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75">
        <v>45220</v>
      </c>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v>45231</v>
      </c>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0">B26</f>
        <v>0</v>
      </c>
      <c r="C48" s="43">
        <f t="shared" si="0"/>
        <v>0</v>
      </c>
      <c r="D48" s="43">
        <f t="shared" si="0"/>
        <v>0</v>
      </c>
      <c r="E48" s="71">
        <f t="shared" si="0"/>
        <v>0</v>
      </c>
      <c r="F48" s="43">
        <f t="shared" si="0"/>
        <v>0</v>
      </c>
      <c r="G48" s="43">
        <f t="shared" si="0"/>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1">B48</f>
        <v>0</v>
      </c>
      <c r="C70" s="43">
        <f t="shared" si="1"/>
        <v>0</v>
      </c>
      <c r="D70" s="43">
        <f t="shared" si="1"/>
        <v>0</v>
      </c>
      <c r="E70" s="71">
        <f t="shared" si="1"/>
        <v>0</v>
      </c>
      <c r="F70" s="43">
        <f t="shared" si="1"/>
        <v>0</v>
      </c>
      <c r="G70" s="43">
        <f t="shared" si="1"/>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2">B70</f>
        <v>0</v>
      </c>
      <c r="C92" s="43">
        <f t="shared" si="2"/>
        <v>0</v>
      </c>
      <c r="D92" s="43">
        <f t="shared" si="2"/>
        <v>0</v>
      </c>
      <c r="E92" s="71">
        <f t="shared" si="2"/>
        <v>0</v>
      </c>
      <c r="F92" s="43">
        <f t="shared" si="2"/>
        <v>0</v>
      </c>
      <c r="G92" s="43">
        <f t="shared" si="2"/>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3000</v>
      </c>
      <c r="L114" s="43"/>
      <c r="M114" s="49"/>
      <c r="N114" s="50"/>
      <c r="O114" s="50"/>
      <c r="P114" s="76"/>
      <c r="Q114" s="43"/>
      <c r="R114" s="43">
        <f>R92+R70+R48+R26++R4</f>
        <v>45250</v>
      </c>
      <c r="S114" s="43"/>
      <c r="T114" s="43"/>
      <c r="U114" s="43"/>
      <c r="V114" s="43"/>
      <c r="W114" s="43"/>
      <c r="X114" s="71"/>
      <c r="Y114" s="43">
        <f>Y92+Y70+Y48+Y26++Y4</f>
        <v>60</v>
      </c>
      <c r="Z114" s="43"/>
      <c r="AA114" s="43"/>
      <c r="AB114" s="43"/>
    </row>
    <row r="115" spans="1:28">
      <c r="I115" s="36" t="s">
        <v>49</v>
      </c>
      <c r="K115" s="72">
        <f>IF(K114&gt;3000,K116,K114)</f>
        <v>3000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AD116"/>
  <sheetViews>
    <sheetView topLeftCell="N1"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成都东方仪器有限公司审计明细表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607</v>
      </c>
      <c r="C4" s="43" t="s">
        <v>1066</v>
      </c>
      <c r="D4" s="43" t="s">
        <v>1067</v>
      </c>
      <c r="E4" s="71" t="s">
        <v>146</v>
      </c>
      <c r="F4" s="43" t="s">
        <v>1040</v>
      </c>
      <c r="G4" s="43" t="s">
        <v>1068</v>
      </c>
      <c r="H4" s="71" t="s">
        <v>71</v>
      </c>
      <c r="I4" s="43" t="s">
        <v>1069</v>
      </c>
      <c r="J4" s="71" t="s">
        <v>73</v>
      </c>
      <c r="K4" s="71">
        <v>915</v>
      </c>
      <c r="L4" s="43" t="s">
        <v>1070</v>
      </c>
      <c r="M4" s="49" t="s">
        <v>1070</v>
      </c>
      <c r="N4" s="68">
        <v>45162</v>
      </c>
      <c r="O4" s="50">
        <v>45291</v>
      </c>
      <c r="P4" s="43">
        <f>P7-N4</f>
        <v>210</v>
      </c>
      <c r="Q4" s="55">
        <f>SUM(Q5:Q25)</f>
        <v>16.420000000000002</v>
      </c>
      <c r="R4" s="55">
        <v>4.8899999999999997</v>
      </c>
      <c r="S4" s="43"/>
      <c r="T4" s="55">
        <f>SUM(T5:T25)</f>
        <v>16.82</v>
      </c>
      <c r="U4" s="56">
        <v>3.15E-2</v>
      </c>
      <c r="V4" s="50"/>
      <c r="W4" s="43" t="s">
        <v>42</v>
      </c>
      <c r="X4" s="77">
        <v>1.4999999999999999E-2</v>
      </c>
      <c r="Y4" s="43">
        <f>ROUNDDOWN(IF((O4-N4+1)*K4*X4/365&gt;R4,R4,(O4-N4+1)*K4*X4/365),2)</f>
        <v>4.88</v>
      </c>
      <c r="Z4" s="55">
        <f>R4-Y4</f>
        <v>0.01</v>
      </c>
      <c r="AA4" s="55" t="s">
        <v>126</v>
      </c>
      <c r="AB4" s="43" t="s">
        <v>61</v>
      </c>
      <c r="AD4" s="61">
        <f>(O4-N4+1)*K4*X4/365</f>
        <v>4.8883999999999999</v>
      </c>
    </row>
    <row r="5" spans="1:30" s="35" customFormat="1">
      <c r="A5" s="44"/>
      <c r="B5" s="44"/>
      <c r="C5" s="44"/>
      <c r="D5" s="44"/>
      <c r="E5" s="42"/>
      <c r="F5" s="44"/>
      <c r="G5" s="44"/>
      <c r="H5" s="42"/>
      <c r="I5" s="44"/>
      <c r="J5" s="42"/>
      <c r="K5" s="42"/>
      <c r="L5" s="44"/>
      <c r="M5" s="51"/>
      <c r="N5" s="52"/>
      <c r="O5" s="68">
        <v>45528</v>
      </c>
      <c r="P5" s="75">
        <v>45190</v>
      </c>
      <c r="Q5" s="58">
        <v>1.84</v>
      </c>
      <c r="R5" s="44"/>
      <c r="S5" s="75">
        <v>45190</v>
      </c>
      <c r="T5" s="58">
        <f>(S5-N4)/360*$U$4*$K$4</f>
        <v>2.2400000000000002</v>
      </c>
      <c r="U5" s="78">
        <f>T5-Q5</f>
        <v>0.4</v>
      </c>
      <c r="V5" s="52"/>
      <c r="W5" s="58"/>
      <c r="X5" s="42"/>
      <c r="Y5" s="44">
        <f>ROUNDDOWN((V5-N4)*K4*X4/365,2)</f>
        <v>-1698.21</v>
      </c>
      <c r="Z5" s="44"/>
      <c r="AA5" s="44"/>
      <c r="AB5" s="44"/>
    </row>
    <row r="6" spans="1:30" s="35" customFormat="1">
      <c r="A6" s="44"/>
      <c r="B6" s="44"/>
      <c r="C6" s="44"/>
      <c r="D6" s="44"/>
      <c r="E6" s="42"/>
      <c r="F6" s="44"/>
      <c r="G6" s="44"/>
      <c r="H6" s="42"/>
      <c r="I6" s="44"/>
      <c r="J6" s="42"/>
      <c r="K6" s="42"/>
      <c r="L6" s="44"/>
      <c r="M6" s="51"/>
      <c r="N6" s="52"/>
      <c r="O6" s="52"/>
      <c r="P6" s="75">
        <v>45281</v>
      </c>
      <c r="Q6" s="58">
        <v>7.29</v>
      </c>
      <c r="R6" s="44"/>
      <c r="S6" s="75">
        <v>45281</v>
      </c>
      <c r="T6" s="58">
        <f>(S6-S5)*$K$4*$U$4/360</f>
        <v>7.29</v>
      </c>
      <c r="U6" s="78">
        <f>T6-Q6</f>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45372</v>
      </c>
      <c r="Q7" s="58">
        <v>7.29</v>
      </c>
      <c r="R7" s="44"/>
      <c r="S7" s="75">
        <v>45372</v>
      </c>
      <c r="T7" s="58">
        <f>(S7-S6)*$K$4*$U$4/360</f>
        <v>7.29</v>
      </c>
      <c r="U7" s="78">
        <f>T7-Q7</f>
        <v>0</v>
      </c>
      <c r="V7" s="75"/>
      <c r="W7" s="58"/>
      <c r="X7" s="42"/>
      <c r="Y7" s="44"/>
      <c r="Z7" s="44"/>
      <c r="AA7" s="44"/>
      <c r="AB7" s="44"/>
    </row>
    <row r="8" spans="1:30" s="35" customFormat="1" hidden="1">
      <c r="A8" s="44"/>
      <c r="B8" s="44"/>
      <c r="C8" s="44"/>
      <c r="D8" s="44"/>
      <c r="E8" s="42"/>
      <c r="F8" s="44"/>
      <c r="G8" s="44"/>
      <c r="H8" s="42"/>
      <c r="I8" s="44"/>
      <c r="J8" s="42"/>
      <c r="K8" s="42"/>
      <c r="L8" s="44"/>
      <c r="M8" s="51"/>
      <c r="N8" s="52"/>
      <c r="O8" s="52"/>
      <c r="P8" s="75"/>
      <c r="Q8" s="58"/>
      <c r="R8" s="44"/>
      <c r="S8" s="75"/>
      <c r="T8" s="58"/>
      <c r="U8" s="78"/>
      <c r="V8" s="75"/>
      <c r="W8" s="58"/>
      <c r="X8" s="42"/>
      <c r="Y8" s="44"/>
      <c r="Z8" s="44"/>
      <c r="AA8" s="44"/>
      <c r="AB8" s="44"/>
    </row>
    <row r="9" spans="1:30" s="35" customFormat="1" hidden="1">
      <c r="A9" s="44"/>
      <c r="B9" s="44"/>
      <c r="C9" s="44"/>
      <c r="D9" s="44"/>
      <c r="E9" s="42"/>
      <c r="F9" s="44"/>
      <c r="G9" s="44"/>
      <c r="H9" s="42"/>
      <c r="I9" s="44"/>
      <c r="J9" s="42"/>
      <c r="K9" s="42"/>
      <c r="L9" s="44"/>
      <c r="M9" s="51"/>
      <c r="N9" s="52"/>
      <c r="O9" s="52"/>
      <c r="P9" s="75"/>
      <c r="Q9" s="58"/>
      <c r="R9" s="44"/>
      <c r="S9" s="75"/>
      <c r="T9" s="58"/>
      <c r="U9" s="78"/>
      <c r="V9" s="75"/>
      <c r="W9" s="58"/>
      <c r="X9" s="42"/>
      <c r="Y9" s="44"/>
      <c r="Z9" s="44"/>
      <c r="AA9" s="44"/>
      <c r="AB9" s="44"/>
    </row>
    <row r="10" spans="1:30" s="35" customFormat="1" hidden="1">
      <c r="A10" s="44"/>
      <c r="B10" s="44"/>
      <c r="C10" s="44"/>
      <c r="D10" s="44"/>
      <c r="E10" s="42"/>
      <c r="F10" s="44"/>
      <c r="G10" s="44"/>
      <c r="H10" s="42"/>
      <c r="I10" s="44"/>
      <c r="J10" s="42"/>
      <c r="K10" s="42"/>
      <c r="L10" s="44"/>
      <c r="M10" s="51"/>
      <c r="N10" s="52"/>
      <c r="O10" s="52"/>
      <c r="P10" s="75"/>
      <c r="Q10" s="58"/>
      <c r="R10" s="44"/>
      <c r="S10" s="75"/>
      <c r="T10" s="58"/>
      <c r="U10" s="78"/>
      <c r="V10" s="75"/>
      <c r="W10" s="58"/>
      <c r="X10" s="42"/>
      <c r="Y10" s="44"/>
      <c r="Z10" s="44"/>
      <c r="AA10" s="44"/>
      <c r="AB10" s="44"/>
    </row>
    <row r="11" spans="1:30" s="35" customFormat="1" hidden="1">
      <c r="A11" s="44"/>
      <c r="B11" s="44"/>
      <c r="C11" s="44"/>
      <c r="D11" s="44"/>
      <c r="E11" s="42"/>
      <c r="F11" s="44"/>
      <c r="G11" s="44"/>
      <c r="H11" s="42"/>
      <c r="I11" s="44"/>
      <c r="J11" s="42"/>
      <c r="K11" s="42"/>
      <c r="L11" s="44"/>
      <c r="M11" s="51"/>
      <c r="N11" s="52"/>
      <c r="O11" s="52"/>
      <c r="P11" s="75"/>
      <c r="Q11" s="58"/>
      <c r="R11" s="44"/>
      <c r="S11" s="75"/>
      <c r="T11" s="58"/>
      <c r="U11" s="78"/>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v>44978</v>
      </c>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v>45006</v>
      </c>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v>45037</v>
      </c>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v>45067</v>
      </c>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v>45098</v>
      </c>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v>45128</v>
      </c>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v>45159</v>
      </c>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75">
        <v>45190</v>
      </c>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75">
        <v>45220</v>
      </c>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v>45231</v>
      </c>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0">B26</f>
        <v>0</v>
      </c>
      <c r="C48" s="43">
        <f t="shared" si="0"/>
        <v>0</v>
      </c>
      <c r="D48" s="43">
        <f t="shared" si="0"/>
        <v>0</v>
      </c>
      <c r="E48" s="71">
        <f t="shared" si="0"/>
        <v>0</v>
      </c>
      <c r="F48" s="43">
        <f t="shared" si="0"/>
        <v>0</v>
      </c>
      <c r="G48" s="43">
        <f t="shared" si="0"/>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1">B48</f>
        <v>0</v>
      </c>
      <c r="C70" s="43">
        <f t="shared" si="1"/>
        <v>0</v>
      </c>
      <c r="D70" s="43">
        <f t="shared" si="1"/>
        <v>0</v>
      </c>
      <c r="E70" s="71">
        <f t="shared" si="1"/>
        <v>0</v>
      </c>
      <c r="F70" s="43">
        <f t="shared" si="1"/>
        <v>0</v>
      </c>
      <c r="G70" s="43">
        <f t="shared" si="1"/>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2">B70</f>
        <v>0</v>
      </c>
      <c r="C92" s="43">
        <f t="shared" si="2"/>
        <v>0</v>
      </c>
      <c r="D92" s="43">
        <f t="shared" si="2"/>
        <v>0</v>
      </c>
      <c r="E92" s="71">
        <f t="shared" si="2"/>
        <v>0</v>
      </c>
      <c r="F92" s="43">
        <f t="shared" si="2"/>
        <v>0</v>
      </c>
      <c r="G92" s="43">
        <f t="shared" si="2"/>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915</v>
      </c>
      <c r="L114" s="43"/>
      <c r="M114" s="49"/>
      <c r="N114" s="50"/>
      <c r="O114" s="50"/>
      <c r="P114" s="76"/>
      <c r="Q114" s="43"/>
      <c r="R114" s="43">
        <f>R92+R70+R48+R26++R4</f>
        <v>45194.89</v>
      </c>
      <c r="S114" s="43"/>
      <c r="T114" s="43"/>
      <c r="U114" s="43"/>
      <c r="V114" s="43"/>
      <c r="W114" s="43"/>
      <c r="X114" s="71"/>
      <c r="Y114" s="43">
        <f>Y92+Y70+Y48+Y26++Y4</f>
        <v>4.88</v>
      </c>
      <c r="Z114" s="43"/>
      <c r="AA114" s="43"/>
      <c r="AB114" s="43"/>
    </row>
    <row r="115" spans="1:28">
      <c r="I115" s="36" t="s">
        <v>49</v>
      </c>
      <c r="K115" s="72">
        <f>IF(K114&gt;3000,K116,K114)</f>
        <v>915</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116"/>
  <sheetViews>
    <sheetView topLeftCell="G1" zoomScale="70" zoomScaleNormal="70" workbookViewId="0">
      <pane ySplit="3" topLeftCell="A4" activePane="bottomLeft" state="frozen"/>
      <selection pane="bottomLeft" activeCell="N4" sqref="N4:AA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成都天奥信息科技有限公司审计明细表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152</v>
      </c>
      <c r="C4" s="9" t="s">
        <v>32</v>
      </c>
      <c r="D4" s="9" t="s">
        <v>153</v>
      </c>
      <c r="E4" s="9" t="s">
        <v>121</v>
      </c>
      <c r="F4" s="9" t="s">
        <v>154</v>
      </c>
      <c r="G4" s="9" t="s">
        <v>155</v>
      </c>
      <c r="H4" s="9" t="s">
        <v>156</v>
      </c>
      <c r="I4" s="9" t="s">
        <v>157</v>
      </c>
      <c r="J4" s="9" t="s">
        <v>73</v>
      </c>
      <c r="K4" s="9">
        <v>2000</v>
      </c>
      <c r="L4" s="9" t="s">
        <v>158</v>
      </c>
      <c r="M4" s="20" t="s">
        <v>159</v>
      </c>
      <c r="N4" s="16">
        <v>45195</v>
      </c>
      <c r="O4" s="16">
        <v>45291</v>
      </c>
      <c r="P4" s="9">
        <f>P8-N4</f>
        <v>117</v>
      </c>
      <c r="Q4" s="22">
        <f>SUM(Q5:Q25)</f>
        <v>17.55</v>
      </c>
      <c r="R4" s="22">
        <v>10.739699999999999</v>
      </c>
      <c r="S4" s="9"/>
      <c r="T4" s="22">
        <f>SUM(T5:T25)</f>
        <v>17.55</v>
      </c>
      <c r="U4" s="23">
        <v>2.7E-2</v>
      </c>
      <c r="V4" s="16"/>
      <c r="W4" s="9" t="s">
        <v>42</v>
      </c>
      <c r="X4" s="24">
        <v>0.02</v>
      </c>
      <c r="Y4" s="9">
        <f>ROUNDDOWN(IF((O4-N4+1)*K4*X4/365&gt;R4,R4,(O4-N4+1)*K4*X4/365),2)</f>
        <v>10.63</v>
      </c>
      <c r="Z4" s="22">
        <f>R4-Y4</f>
        <v>0.11</v>
      </c>
      <c r="AA4" s="22" t="s">
        <v>160</v>
      </c>
      <c r="AB4" s="9" t="s">
        <v>161</v>
      </c>
      <c r="AD4" s="28">
        <f>(O4-N4+1)*K4*X4/365</f>
        <v>10.630100000000001</v>
      </c>
    </row>
    <row r="5" spans="1:30" s="2" customFormat="1" ht="84">
      <c r="A5" s="10"/>
      <c r="B5" s="10"/>
      <c r="C5" s="10"/>
      <c r="D5" s="10"/>
      <c r="E5" s="10"/>
      <c r="F5" s="10"/>
      <c r="G5" s="10"/>
      <c r="H5" s="10"/>
      <c r="I5" s="10"/>
      <c r="J5" s="10"/>
      <c r="K5" s="10"/>
      <c r="L5" s="10"/>
      <c r="M5" s="17" t="s">
        <v>162</v>
      </c>
      <c r="N5" s="18"/>
      <c r="O5" s="16">
        <v>45560</v>
      </c>
      <c r="P5" s="19">
        <v>45220</v>
      </c>
      <c r="Q5" s="25">
        <v>3.75</v>
      </c>
      <c r="R5" s="10"/>
      <c r="S5" s="19">
        <f>P5</f>
        <v>45220</v>
      </c>
      <c r="T5" s="25">
        <f>(S5-N4)/360*$U$4*$K$4</f>
        <v>3.75</v>
      </c>
      <c r="U5" s="25">
        <f>T5-Q5</f>
        <v>0</v>
      </c>
      <c r="V5" s="18"/>
      <c r="W5" s="10"/>
      <c r="X5" s="10"/>
      <c r="Y5" s="10">
        <f>ROUNDDOWN((V5-N4)*K4*X4/365,2)</f>
        <v>-4952.87</v>
      </c>
      <c r="Z5" s="10"/>
      <c r="AA5" s="10"/>
      <c r="AB5" s="10"/>
    </row>
    <row r="6" spans="1:30" s="2" customFormat="1">
      <c r="A6" s="10"/>
      <c r="B6" s="10"/>
      <c r="C6" s="10"/>
      <c r="D6" s="10"/>
      <c r="E6" s="10"/>
      <c r="F6" s="10"/>
      <c r="G6" s="10"/>
      <c r="H6" s="10"/>
      <c r="I6" s="10"/>
      <c r="J6" s="10"/>
      <c r="K6" s="10"/>
      <c r="L6" s="10"/>
      <c r="M6" s="17"/>
      <c r="N6" s="18"/>
      <c r="O6" s="18"/>
      <c r="P6" s="19">
        <v>45251</v>
      </c>
      <c r="Q6" s="25">
        <v>4.6500000000000004</v>
      </c>
      <c r="R6" s="10"/>
      <c r="S6" s="19">
        <f t="shared" ref="S6:S8" si="0">P6</f>
        <v>45251</v>
      </c>
      <c r="T6" s="25">
        <f>(S6-S5)*$K$4*$U$4/360</f>
        <v>4.6500000000000004</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45281</v>
      </c>
      <c r="Q7" s="25">
        <v>4.5</v>
      </c>
      <c r="R7" s="10"/>
      <c r="S7" s="19">
        <f t="shared" si="0"/>
        <v>45281</v>
      </c>
      <c r="T7" s="25">
        <f t="shared" ref="T7:T8" si="1">(S7-S6)*$K$4*$U$4/360</f>
        <v>4.5</v>
      </c>
      <c r="U7" s="25">
        <f t="shared" ref="U7:U8"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45312</v>
      </c>
      <c r="Q8" s="25">
        <v>4.6500000000000004</v>
      </c>
      <c r="R8" s="10"/>
      <c r="S8" s="19">
        <f t="shared" si="0"/>
        <v>45312</v>
      </c>
      <c r="T8" s="25">
        <f t="shared" si="1"/>
        <v>4.6500000000000004</v>
      </c>
      <c r="U8" s="25">
        <f t="shared" si="2"/>
        <v>0</v>
      </c>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成都天奥信息科技有限公司</v>
      </c>
      <c r="C26" s="9" t="str">
        <f t="shared" ref="C26:G26" si="3">C4</f>
        <v>成都高新技术产业开发区市场监督管理局</v>
      </c>
      <c r="D26" s="9" t="str">
        <f t="shared" si="3"/>
        <v>91510100777 4980128</v>
      </c>
      <c r="E26" s="9" t="str">
        <f t="shared" si="3"/>
        <v>其他有限责任公司</v>
      </c>
      <c r="F26" s="9" t="str">
        <f t="shared" si="3"/>
        <v>成都高新技术产业开发区税务局</v>
      </c>
      <c r="G26" s="9" t="str">
        <f t="shared" si="3"/>
        <v>51001416146059666888                     建设银行成都茶店子支行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成都天奥信息科技有限公司</v>
      </c>
      <c r="C48" s="9" t="str">
        <f t="shared" ref="C48:G48" si="7">C26</f>
        <v>成都高新技术产业开发区市场监督管理局</v>
      </c>
      <c r="D48" s="9" t="str">
        <f t="shared" si="7"/>
        <v>91510100777 4980128</v>
      </c>
      <c r="E48" s="9" t="str">
        <f t="shared" si="7"/>
        <v>其他有限责任公司</v>
      </c>
      <c r="F48" s="9" t="str">
        <f t="shared" si="7"/>
        <v>成都高新技术产业开发区税务局</v>
      </c>
      <c r="G48" s="9" t="str">
        <f t="shared" si="7"/>
        <v>51001416146059666888                     建设银行成都茶店子支行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成都天奥信息科技有限公司</v>
      </c>
      <c r="C70" s="9" t="str">
        <f t="shared" ref="C70:G70" si="10">C48</f>
        <v>成都高新技术产业开发区市场监督管理局</v>
      </c>
      <c r="D70" s="9" t="str">
        <f t="shared" si="10"/>
        <v>91510100777 4980128</v>
      </c>
      <c r="E70" s="9" t="str">
        <f t="shared" si="10"/>
        <v>其他有限责任公司</v>
      </c>
      <c r="F70" s="9" t="str">
        <f t="shared" si="10"/>
        <v>成都高新技术产业开发区税务局</v>
      </c>
      <c r="G70" s="9" t="str">
        <f t="shared" si="10"/>
        <v>51001416146059666888                     建设银行成都茶店子支行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成都天奥信息科技有限公司</v>
      </c>
      <c r="C92" s="9" t="str">
        <f t="shared" ref="C92:G92" si="11">C70</f>
        <v>成都高新技术产业开发区市场监督管理局</v>
      </c>
      <c r="D92" s="9" t="str">
        <f t="shared" si="11"/>
        <v>91510100777 4980128</v>
      </c>
      <c r="E92" s="9" t="str">
        <f t="shared" si="11"/>
        <v>其他有限责任公司</v>
      </c>
      <c r="F92" s="9" t="str">
        <f t="shared" si="11"/>
        <v>成都高新技术产业开发区税务局</v>
      </c>
      <c r="G92" s="9" t="str">
        <f t="shared" si="11"/>
        <v>51001416146059666888                     建设银行成都茶店子支行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22">
        <f>R92+R70+R48+R26+R4</f>
        <v>10.74</v>
      </c>
      <c r="S114" s="9"/>
      <c r="T114" s="9"/>
      <c r="U114" s="9"/>
      <c r="V114" s="9"/>
      <c r="W114" s="9"/>
      <c r="X114" s="9"/>
      <c r="Y114" s="9">
        <f>Y92+Y70+Y48+Y26++Y4</f>
        <v>10.63</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AD116"/>
  <sheetViews>
    <sheetView topLeftCell="J1" zoomScale="70" zoomScaleNormal="70" workbookViewId="0">
      <pane ySplit="3" topLeftCell="A4" activePane="bottomLeft" state="frozen"/>
      <selection pane="bottomLeft" activeCell="N4" sqref="N4:AB4"/>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成都通威三新药业有限公司审计明细表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50.15"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84">
      <c r="A4" s="43">
        <v>1</v>
      </c>
      <c r="B4" s="43" t="s">
        <v>664</v>
      </c>
      <c r="C4" s="43" t="s">
        <v>1071</v>
      </c>
      <c r="D4" s="43" t="s">
        <v>1072</v>
      </c>
      <c r="E4" s="43" t="s">
        <v>34</v>
      </c>
      <c r="F4" s="43" t="s">
        <v>1073</v>
      </c>
      <c r="G4" s="43" t="s">
        <v>1074</v>
      </c>
      <c r="H4" s="43" t="s">
        <v>71</v>
      </c>
      <c r="I4" s="43" t="s">
        <v>148</v>
      </c>
      <c r="J4" s="43" t="s">
        <v>58</v>
      </c>
      <c r="K4" s="43">
        <v>1000</v>
      </c>
      <c r="L4" s="43" t="s">
        <v>1075</v>
      </c>
      <c r="M4" s="49" t="s">
        <v>1076</v>
      </c>
      <c r="N4" s="68">
        <v>44971</v>
      </c>
      <c r="O4" s="50">
        <v>45264</v>
      </c>
      <c r="P4" s="43">
        <f>P10-N4</f>
        <v>188</v>
      </c>
      <c r="Q4" s="55">
        <f>SUM(Q5:Q25)</f>
        <v>25.08</v>
      </c>
      <c r="R4" s="55">
        <v>12.04</v>
      </c>
      <c r="S4" s="43"/>
      <c r="T4" s="55">
        <f>SUM(T5:T25)</f>
        <v>30.12</v>
      </c>
      <c r="U4" s="56">
        <v>3.5000000000000003E-2</v>
      </c>
      <c r="V4" s="50"/>
      <c r="W4" s="43" t="s">
        <v>1077</v>
      </c>
      <c r="X4" s="57">
        <v>1.4999999999999999E-2</v>
      </c>
      <c r="Y4" s="43">
        <f>ROUNDDOWN(IF((O4-N4+1)*K4*X4/365&gt;R4,R4,(O4-N4+1)*K4*X4/365),2)</f>
        <v>12.04</v>
      </c>
      <c r="Z4" s="55">
        <f>R4-Y4</f>
        <v>0</v>
      </c>
      <c r="AA4" s="55"/>
      <c r="AB4" s="43" t="s">
        <v>61</v>
      </c>
      <c r="AD4" s="61">
        <f>(O4-N4+1)*K4*X4/365</f>
        <v>12.0822</v>
      </c>
    </row>
    <row r="5" spans="1:30" s="35" customFormat="1">
      <c r="A5" s="44"/>
      <c r="B5" s="44"/>
      <c r="C5" s="44"/>
      <c r="D5" s="44"/>
      <c r="E5" s="44"/>
      <c r="F5" s="44"/>
      <c r="G5" s="44"/>
      <c r="H5" s="44"/>
      <c r="I5" s="44"/>
      <c r="J5" s="44"/>
      <c r="K5" s="44"/>
      <c r="L5" s="44"/>
      <c r="M5" s="51"/>
      <c r="N5" s="52"/>
      <c r="O5" s="50">
        <v>45334</v>
      </c>
      <c r="P5" s="75">
        <v>45006</v>
      </c>
      <c r="Q5" s="58">
        <v>2.88</v>
      </c>
      <c r="R5" s="75"/>
      <c r="S5" s="75">
        <v>45006</v>
      </c>
      <c r="T5" s="58">
        <f>(S5-N4)/360*$U$4*$K$4</f>
        <v>3.4</v>
      </c>
      <c r="U5" s="78">
        <f t="shared" ref="U5:U15" si="0">T5-Q5</f>
        <v>0.52</v>
      </c>
      <c r="V5" s="52">
        <v>45264</v>
      </c>
      <c r="W5" s="44">
        <v>1000</v>
      </c>
      <c r="X5" s="44"/>
      <c r="Y5" s="44">
        <f>ROUNDDOWN((V5-N4)*K4*X4/365,2)</f>
        <v>12.04</v>
      </c>
      <c r="Z5" s="44"/>
      <c r="AA5" s="44"/>
      <c r="AB5" s="44"/>
    </row>
    <row r="6" spans="1:30" s="35" customFormat="1">
      <c r="A6" s="44"/>
      <c r="B6" s="44"/>
      <c r="C6" s="44"/>
      <c r="D6" s="44"/>
      <c r="E6" s="44"/>
      <c r="F6" s="44"/>
      <c r="G6" s="44"/>
      <c r="H6" s="44"/>
      <c r="I6" s="44"/>
      <c r="J6" s="44"/>
      <c r="K6" s="44"/>
      <c r="L6" s="44"/>
      <c r="M6" s="51"/>
      <c r="N6" s="52"/>
      <c r="O6" s="52"/>
      <c r="P6" s="75">
        <v>45037</v>
      </c>
      <c r="Q6" s="58">
        <v>2.54</v>
      </c>
      <c r="R6" s="75"/>
      <c r="S6" s="75">
        <v>45037</v>
      </c>
      <c r="T6" s="58">
        <f t="shared" ref="T6:T15" si="1">(S6-S5)*$K$4*$U$4/360</f>
        <v>3.01</v>
      </c>
      <c r="U6" s="78">
        <f t="shared" si="0"/>
        <v>0.47</v>
      </c>
      <c r="V6" s="44"/>
      <c r="W6" s="44"/>
      <c r="X6" s="44"/>
      <c r="Y6" s="44"/>
      <c r="Z6" s="44"/>
      <c r="AA6" s="44"/>
      <c r="AB6" s="44"/>
    </row>
    <row r="7" spans="1:30" s="35" customFormat="1">
      <c r="A7" s="44"/>
      <c r="B7" s="44"/>
      <c r="C7" s="44"/>
      <c r="D7" s="44"/>
      <c r="E7" s="44"/>
      <c r="F7" s="44"/>
      <c r="G7" s="44"/>
      <c r="H7" s="44"/>
      <c r="I7" s="44"/>
      <c r="J7" s="103"/>
      <c r="K7" s="44"/>
      <c r="L7" s="44"/>
      <c r="M7" s="51"/>
      <c r="N7" s="52"/>
      <c r="O7" s="52"/>
      <c r="P7" s="75">
        <v>45067</v>
      </c>
      <c r="Q7" s="58">
        <v>2.46</v>
      </c>
      <c r="R7" s="75"/>
      <c r="S7" s="75">
        <v>45067</v>
      </c>
      <c r="T7" s="58">
        <f t="shared" si="1"/>
        <v>2.92</v>
      </c>
      <c r="U7" s="78">
        <f t="shared" si="0"/>
        <v>0.46</v>
      </c>
      <c r="V7" s="44"/>
      <c r="W7" s="44"/>
      <c r="X7" s="44"/>
      <c r="Y7" s="44"/>
      <c r="Z7" s="44"/>
      <c r="AA7" s="44"/>
      <c r="AB7" s="44"/>
    </row>
    <row r="8" spans="1:30" s="35" customFormat="1">
      <c r="A8" s="44"/>
      <c r="B8" s="44"/>
      <c r="C8" s="44"/>
      <c r="D8" s="44"/>
      <c r="E8" s="44"/>
      <c r="F8" s="44"/>
      <c r="G8" s="44"/>
      <c r="H8" s="44"/>
      <c r="I8" s="44"/>
      <c r="J8" s="44"/>
      <c r="K8" s="44"/>
      <c r="L8" s="44"/>
      <c r="M8" s="51"/>
      <c r="N8" s="52"/>
      <c r="O8" s="52"/>
      <c r="P8" s="75">
        <v>45098</v>
      </c>
      <c r="Q8" s="58">
        <v>2.54</v>
      </c>
      <c r="R8" s="75"/>
      <c r="S8" s="75">
        <v>45098</v>
      </c>
      <c r="T8" s="58">
        <f t="shared" si="1"/>
        <v>3.01</v>
      </c>
      <c r="U8" s="78">
        <f t="shared" si="0"/>
        <v>0.47</v>
      </c>
      <c r="V8" s="44"/>
      <c r="W8" s="44"/>
      <c r="X8" s="44"/>
      <c r="Y8" s="44"/>
      <c r="Z8" s="44"/>
      <c r="AA8" s="44"/>
      <c r="AB8" s="44"/>
    </row>
    <row r="9" spans="1:30" s="35" customFormat="1">
      <c r="A9" s="44"/>
      <c r="B9" s="44"/>
      <c r="C9" s="44"/>
      <c r="D9" s="44"/>
      <c r="E9" s="44"/>
      <c r="F9" s="44"/>
      <c r="G9" s="44"/>
      <c r="H9" s="44"/>
      <c r="I9" s="44"/>
      <c r="J9" s="44"/>
      <c r="K9" s="44"/>
      <c r="L9" s="44"/>
      <c r="M9" s="51"/>
      <c r="N9" s="52"/>
      <c r="O9" s="52"/>
      <c r="P9" s="75">
        <v>45128</v>
      </c>
      <c r="Q9" s="58">
        <v>2.46</v>
      </c>
      <c r="R9" s="75"/>
      <c r="S9" s="75">
        <v>45128</v>
      </c>
      <c r="T9" s="58">
        <f t="shared" si="1"/>
        <v>2.92</v>
      </c>
      <c r="U9" s="78">
        <f t="shared" si="0"/>
        <v>0.46</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75">
        <v>45159</v>
      </c>
      <c r="Q10" s="58">
        <v>2.54</v>
      </c>
      <c r="R10" s="75"/>
      <c r="S10" s="75">
        <v>45159</v>
      </c>
      <c r="T10" s="58">
        <f t="shared" si="1"/>
        <v>3.01</v>
      </c>
      <c r="U10" s="78">
        <f t="shared" si="0"/>
        <v>0.47</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75">
        <v>45190</v>
      </c>
      <c r="Q11" s="58">
        <v>2.54</v>
      </c>
      <c r="R11" s="75"/>
      <c r="S11" s="75">
        <v>45190</v>
      </c>
      <c r="T11" s="58">
        <f t="shared" si="1"/>
        <v>3.01</v>
      </c>
      <c r="U11" s="78">
        <f t="shared" si="0"/>
        <v>0.47</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75">
        <v>45220</v>
      </c>
      <c r="Q12" s="58">
        <v>2.46</v>
      </c>
      <c r="R12" s="75"/>
      <c r="S12" s="75">
        <v>45220</v>
      </c>
      <c r="T12" s="58">
        <f t="shared" si="1"/>
        <v>2.92</v>
      </c>
      <c r="U12" s="78">
        <f t="shared" si="0"/>
        <v>0.46</v>
      </c>
      <c r="V12" s="44"/>
      <c r="W12" s="44"/>
      <c r="X12" s="44"/>
      <c r="Y12" s="44"/>
      <c r="Z12" s="44"/>
      <c r="AA12" s="44"/>
      <c r="AB12" s="44"/>
    </row>
    <row r="13" spans="1:30" s="35" customFormat="1">
      <c r="A13" s="44"/>
      <c r="B13" s="44"/>
      <c r="C13" s="44"/>
      <c r="D13" s="44"/>
      <c r="E13" s="44"/>
      <c r="F13" s="44"/>
      <c r="G13" s="44"/>
      <c r="H13" s="44"/>
      <c r="I13" s="44"/>
      <c r="J13" s="44"/>
      <c r="K13" s="44"/>
      <c r="L13" s="44"/>
      <c r="M13" s="51"/>
      <c r="N13" s="52"/>
      <c r="O13" s="52"/>
      <c r="P13" s="75">
        <v>45251</v>
      </c>
      <c r="Q13" s="58">
        <v>2.54</v>
      </c>
      <c r="R13" s="75"/>
      <c r="S13" s="75">
        <v>45251</v>
      </c>
      <c r="T13" s="58">
        <f t="shared" si="1"/>
        <v>3.01</v>
      </c>
      <c r="U13" s="78">
        <f t="shared" si="0"/>
        <v>0.47</v>
      </c>
      <c r="V13" s="44"/>
      <c r="W13" s="44"/>
      <c r="X13" s="44"/>
      <c r="Y13" s="44"/>
      <c r="Z13" s="44"/>
      <c r="AA13" s="44"/>
      <c r="AB13" s="44"/>
    </row>
    <row r="14" spans="1:30" s="35" customFormat="1">
      <c r="A14" s="44"/>
      <c r="B14" s="44"/>
      <c r="C14" s="44"/>
      <c r="D14" s="44"/>
      <c r="E14" s="44"/>
      <c r="F14" s="44"/>
      <c r="G14" s="44"/>
      <c r="H14" s="44"/>
      <c r="I14" s="44"/>
      <c r="J14" s="44"/>
      <c r="K14" s="44"/>
      <c r="L14" s="44"/>
      <c r="M14" s="51"/>
      <c r="N14" s="52"/>
      <c r="O14" s="52"/>
      <c r="P14" s="75">
        <v>45264</v>
      </c>
      <c r="Q14" s="58">
        <v>1.07</v>
      </c>
      <c r="R14" s="75"/>
      <c r="S14" s="75">
        <v>45264</v>
      </c>
      <c r="T14" s="58">
        <f t="shared" si="1"/>
        <v>1.26</v>
      </c>
      <c r="U14" s="78">
        <f t="shared" si="0"/>
        <v>0.19</v>
      </c>
      <c r="V14" s="44"/>
      <c r="W14" s="44"/>
      <c r="X14" s="44"/>
      <c r="Y14" s="44"/>
      <c r="Z14" s="44"/>
      <c r="AA14" s="44"/>
      <c r="AB14" s="44"/>
    </row>
    <row r="15" spans="1:30" s="35" customFormat="1">
      <c r="A15" s="44"/>
      <c r="B15" s="44"/>
      <c r="C15" s="44"/>
      <c r="D15" s="44"/>
      <c r="E15" s="44"/>
      <c r="F15" s="44"/>
      <c r="G15" s="44"/>
      <c r="H15" s="44"/>
      <c r="I15" s="44"/>
      <c r="J15" s="44"/>
      <c r="K15" s="44"/>
      <c r="L15" s="44"/>
      <c r="M15" s="51"/>
      <c r="N15" s="52"/>
      <c r="O15" s="52"/>
      <c r="P15" s="75">
        <v>45281</v>
      </c>
      <c r="Q15" s="58">
        <v>1.05</v>
      </c>
      <c r="R15" s="75"/>
      <c r="S15" s="75">
        <v>45281</v>
      </c>
      <c r="T15" s="58">
        <f t="shared" si="1"/>
        <v>1.65</v>
      </c>
      <c r="U15" s="78">
        <f t="shared" si="0"/>
        <v>0.6</v>
      </c>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75"/>
      <c r="S16" s="75"/>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2">B26</f>
        <v>0</v>
      </c>
      <c r="C48" s="43">
        <f t="shared" si="2"/>
        <v>0</v>
      </c>
      <c r="D48" s="43">
        <f t="shared" si="2"/>
        <v>0</v>
      </c>
      <c r="E48" s="43">
        <f t="shared" si="2"/>
        <v>0</v>
      </c>
      <c r="F48" s="43">
        <f t="shared" si="2"/>
        <v>0</v>
      </c>
      <c r="G48" s="43">
        <f t="shared" si="2"/>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12.04</v>
      </c>
      <c r="S114" s="43"/>
      <c r="T114" s="43"/>
      <c r="U114" s="43"/>
      <c r="V114" s="43"/>
      <c r="W114" s="43"/>
      <c r="X114" s="43"/>
      <c r="Y114" s="43">
        <f>Y92+Y70+Y48+Y26++Y4</f>
        <v>12.04</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AD116"/>
  <sheetViews>
    <sheetView topLeftCell="H1" zoomScale="70" zoomScaleNormal="7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成都春源食品有限公司审计明细表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604</v>
      </c>
      <c r="C4" s="43" t="s">
        <v>1071</v>
      </c>
      <c r="D4" s="152" t="s">
        <v>1078</v>
      </c>
      <c r="E4" s="71" t="s">
        <v>1079</v>
      </c>
      <c r="F4" s="43" t="s">
        <v>1073</v>
      </c>
      <c r="G4" s="43" t="s">
        <v>1080</v>
      </c>
      <c r="H4" s="71" t="s">
        <v>925</v>
      </c>
      <c r="I4" s="43" t="s">
        <v>285</v>
      </c>
      <c r="J4" s="71" t="s">
        <v>58</v>
      </c>
      <c r="K4" s="71">
        <v>1000</v>
      </c>
      <c r="L4" s="43" t="s">
        <v>1081</v>
      </c>
      <c r="M4" s="49" t="s">
        <v>1082</v>
      </c>
      <c r="N4" s="50">
        <v>44971</v>
      </c>
      <c r="O4" s="50">
        <v>45264</v>
      </c>
      <c r="P4" s="43">
        <f>P14-N4</f>
        <v>293</v>
      </c>
      <c r="Q4" s="55">
        <f>SUM(Q5:Q25)</f>
        <v>24.03</v>
      </c>
      <c r="R4" s="55">
        <v>12.04</v>
      </c>
      <c r="S4" s="43"/>
      <c r="T4" s="55">
        <f>SUM(T5:T25)</f>
        <v>28.47</v>
      </c>
      <c r="U4" s="56">
        <v>3.5000000000000003E-2</v>
      </c>
      <c r="V4" s="50"/>
      <c r="W4" s="43" t="s">
        <v>1077</v>
      </c>
      <c r="X4" s="77">
        <v>1.4999999999999999E-2</v>
      </c>
      <c r="Y4" s="43">
        <f>ROUNDDOWN(IF((O4-N4+1)*K4*X4/365&gt;R4,R4,(O4-N4+1)*K4*X4/365),2)</f>
        <v>12.04</v>
      </c>
      <c r="Z4" s="55">
        <f>R4-Y4</f>
        <v>0</v>
      </c>
      <c r="AA4" s="55"/>
      <c r="AB4" s="43" t="s">
        <v>61</v>
      </c>
      <c r="AD4" s="61">
        <f>(O4-N4+1)*K4*X4/365</f>
        <v>12.0822</v>
      </c>
    </row>
    <row r="5" spans="1:30" s="35" customFormat="1">
      <c r="A5" s="44"/>
      <c r="B5" s="44"/>
      <c r="C5" s="44"/>
      <c r="D5" s="44"/>
      <c r="E5" s="42"/>
      <c r="F5" s="44"/>
      <c r="G5" s="44"/>
      <c r="H5" s="42"/>
      <c r="I5" s="44"/>
      <c r="J5" s="42"/>
      <c r="K5" s="42"/>
      <c r="L5" s="44"/>
      <c r="M5" s="51"/>
      <c r="N5" s="52"/>
      <c r="O5" s="68">
        <v>45334</v>
      </c>
      <c r="P5" s="75">
        <v>45006</v>
      </c>
      <c r="Q5" s="58">
        <v>2.88</v>
      </c>
      <c r="R5" s="44"/>
      <c r="S5" s="75">
        <v>45006</v>
      </c>
      <c r="T5" s="58">
        <f>(S5-N4)/360*$U$4*$K$4</f>
        <v>3.4</v>
      </c>
      <c r="U5" s="58">
        <f t="shared" ref="U5:U14" si="0">T5-Q5</f>
        <v>0.52</v>
      </c>
      <c r="V5" s="52">
        <v>45264</v>
      </c>
      <c r="W5" s="58">
        <v>1000</v>
      </c>
      <c r="X5" s="42"/>
      <c r="Y5" s="44">
        <f>ROUNDDOWN((V5-N4)*K4*X4/365,2)</f>
        <v>12.04</v>
      </c>
      <c r="Z5" s="44"/>
      <c r="AA5" s="44"/>
      <c r="AB5" s="44"/>
    </row>
    <row r="6" spans="1:30" s="35" customFormat="1">
      <c r="A6" s="44"/>
      <c r="B6" s="44"/>
      <c r="C6" s="44"/>
      <c r="D6" s="44"/>
      <c r="E6" s="42"/>
      <c r="F6" s="44"/>
      <c r="G6" s="44"/>
      <c r="H6" s="42"/>
      <c r="I6" s="44"/>
      <c r="J6" s="42"/>
      <c r="K6" s="42"/>
      <c r="L6" s="44"/>
      <c r="M6" s="51"/>
      <c r="N6" s="52"/>
      <c r="O6" s="52"/>
      <c r="P6" s="75">
        <v>45037</v>
      </c>
      <c r="Q6" s="58">
        <v>2.54</v>
      </c>
      <c r="R6" s="44"/>
      <c r="S6" s="75">
        <v>45037</v>
      </c>
      <c r="T6" s="58">
        <f t="shared" ref="T6:T14" si="1">(S6-S5)*$K$4*$U$4/360</f>
        <v>3.01</v>
      </c>
      <c r="U6" s="78">
        <f t="shared" si="0"/>
        <v>0.47</v>
      </c>
      <c r="V6" s="75"/>
      <c r="W6" s="58"/>
      <c r="X6" s="42"/>
      <c r="Y6" s="44"/>
      <c r="Z6" s="44"/>
      <c r="AA6" s="44"/>
      <c r="AB6" s="44"/>
    </row>
    <row r="7" spans="1:30" s="35" customFormat="1">
      <c r="A7" s="44"/>
      <c r="B7" s="44"/>
      <c r="C7" s="44"/>
      <c r="D7" s="44"/>
      <c r="E7" s="42"/>
      <c r="F7" s="44"/>
      <c r="G7" s="44"/>
      <c r="H7" s="42"/>
      <c r="I7" s="44"/>
      <c r="J7" s="42"/>
      <c r="K7" s="42"/>
      <c r="L7" s="44"/>
      <c r="M7" s="51"/>
      <c r="N7" s="52"/>
      <c r="O7" s="52"/>
      <c r="P7" s="75">
        <v>45067</v>
      </c>
      <c r="Q7" s="58">
        <v>2.46</v>
      </c>
      <c r="R7" s="44"/>
      <c r="S7" s="75">
        <v>45067</v>
      </c>
      <c r="T7" s="58">
        <f t="shared" si="1"/>
        <v>2.92</v>
      </c>
      <c r="U7" s="58">
        <f t="shared" si="0"/>
        <v>0.46</v>
      </c>
      <c r="V7" s="75"/>
      <c r="W7" s="58"/>
      <c r="X7" s="42"/>
      <c r="Y7" s="44"/>
      <c r="Z7" s="44"/>
      <c r="AA7" s="44"/>
      <c r="AB7" s="44"/>
    </row>
    <row r="8" spans="1:30" s="35" customFormat="1">
      <c r="A8" s="44"/>
      <c r="B8" s="44"/>
      <c r="C8" s="44"/>
      <c r="D8" s="44"/>
      <c r="E8" s="42"/>
      <c r="F8" s="44"/>
      <c r="G8" s="44"/>
      <c r="H8" s="42"/>
      <c r="I8" s="44"/>
      <c r="J8" s="42"/>
      <c r="K8" s="42"/>
      <c r="L8" s="44"/>
      <c r="M8" s="51"/>
      <c r="N8" s="52"/>
      <c r="O8" s="52"/>
      <c r="P8" s="75">
        <v>45098</v>
      </c>
      <c r="Q8" s="58">
        <v>2.54</v>
      </c>
      <c r="R8" s="44"/>
      <c r="S8" s="75">
        <v>45098</v>
      </c>
      <c r="T8" s="58">
        <f t="shared" si="1"/>
        <v>3.01</v>
      </c>
      <c r="U8" s="78">
        <f t="shared" si="0"/>
        <v>0.47</v>
      </c>
      <c r="V8" s="75"/>
      <c r="W8" s="58"/>
      <c r="X8" s="42"/>
      <c r="Y8" s="44"/>
      <c r="Z8" s="44"/>
      <c r="AA8" s="44"/>
      <c r="AB8" s="44"/>
    </row>
    <row r="9" spans="1:30" s="35" customFormat="1">
      <c r="A9" s="44"/>
      <c r="B9" s="44"/>
      <c r="C9" s="44"/>
      <c r="D9" s="44"/>
      <c r="E9" s="42"/>
      <c r="F9" s="44"/>
      <c r="G9" s="44"/>
      <c r="H9" s="42"/>
      <c r="I9" s="44"/>
      <c r="J9" s="42"/>
      <c r="K9" s="42"/>
      <c r="L9" s="44"/>
      <c r="M9" s="51"/>
      <c r="N9" s="52"/>
      <c r="O9" s="52"/>
      <c r="P9" s="75">
        <v>45128</v>
      </c>
      <c r="Q9" s="58">
        <v>2.46</v>
      </c>
      <c r="R9" s="44"/>
      <c r="S9" s="75">
        <v>45128</v>
      </c>
      <c r="T9" s="58">
        <f t="shared" si="1"/>
        <v>2.92</v>
      </c>
      <c r="U9" s="78">
        <f t="shared" si="0"/>
        <v>0.46</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45159</v>
      </c>
      <c r="Q10" s="58">
        <v>2.54</v>
      </c>
      <c r="R10" s="44"/>
      <c r="S10" s="75">
        <v>45159</v>
      </c>
      <c r="T10" s="58">
        <f t="shared" si="1"/>
        <v>3.01</v>
      </c>
      <c r="U10" s="58">
        <f t="shared" si="0"/>
        <v>0.47</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45190</v>
      </c>
      <c r="Q11" s="58">
        <v>2.54</v>
      </c>
      <c r="R11" s="44"/>
      <c r="S11" s="75">
        <v>45190</v>
      </c>
      <c r="T11" s="58">
        <f t="shared" si="1"/>
        <v>3.01</v>
      </c>
      <c r="U11" s="78">
        <f t="shared" si="0"/>
        <v>0.47</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45220</v>
      </c>
      <c r="Q12" s="58">
        <v>2.46</v>
      </c>
      <c r="R12" s="44"/>
      <c r="S12" s="75">
        <v>45220</v>
      </c>
      <c r="T12" s="58">
        <f t="shared" si="1"/>
        <v>2.92</v>
      </c>
      <c r="U12" s="58">
        <f t="shared" si="0"/>
        <v>0.46</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45251</v>
      </c>
      <c r="Q13" s="58">
        <v>2.54</v>
      </c>
      <c r="R13" s="44"/>
      <c r="S13" s="75">
        <v>45251</v>
      </c>
      <c r="T13" s="58">
        <f t="shared" si="1"/>
        <v>3.01</v>
      </c>
      <c r="U13" s="78">
        <f t="shared" si="0"/>
        <v>0.47</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45264</v>
      </c>
      <c r="Q14" s="58">
        <v>1.07</v>
      </c>
      <c r="R14" s="44"/>
      <c r="S14" s="75">
        <v>45264</v>
      </c>
      <c r="T14" s="58">
        <f t="shared" si="1"/>
        <v>1.26</v>
      </c>
      <c r="U14" s="58">
        <f t="shared" si="0"/>
        <v>0.19</v>
      </c>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12.04</v>
      </c>
      <c r="S114" s="43"/>
      <c r="T114" s="43"/>
      <c r="U114" s="43"/>
      <c r="V114" s="43"/>
      <c r="W114" s="43"/>
      <c r="X114" s="71"/>
      <c r="Y114" s="43">
        <f>Y92+Y70+Y48+Y26++Y4</f>
        <v>12.04</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AD116"/>
  <sheetViews>
    <sheetView topLeftCell="H1" zoomScale="70" zoomScaleNormal="7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成都新太丰农业开发有限公司审计明细表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26" customHeight="1">
      <c r="A4" s="43">
        <v>1</v>
      </c>
      <c r="B4" s="43" t="s">
        <v>673</v>
      </c>
      <c r="C4" s="43" t="s">
        <v>1071</v>
      </c>
      <c r="D4" s="43" t="s">
        <v>1083</v>
      </c>
      <c r="E4" s="71" t="s">
        <v>121</v>
      </c>
      <c r="F4" s="43" t="s">
        <v>1084</v>
      </c>
      <c r="G4" s="43" t="s">
        <v>1085</v>
      </c>
      <c r="H4" s="71" t="s">
        <v>71</v>
      </c>
      <c r="I4" s="43" t="s">
        <v>285</v>
      </c>
      <c r="J4" s="71" t="s">
        <v>58</v>
      </c>
      <c r="K4" s="71">
        <v>1000</v>
      </c>
      <c r="L4" s="43" t="s">
        <v>1086</v>
      </c>
      <c r="M4" s="49" t="s">
        <v>1087</v>
      </c>
      <c r="N4" s="68">
        <v>44971</v>
      </c>
      <c r="O4" s="50">
        <v>45264</v>
      </c>
      <c r="P4" s="43">
        <f>P14-N4</f>
        <v>293</v>
      </c>
      <c r="Q4" s="55">
        <f>SUM(Q5:Q25)</f>
        <v>24.03</v>
      </c>
      <c r="R4" s="55">
        <v>12.04</v>
      </c>
      <c r="S4" s="43"/>
      <c r="T4" s="55">
        <f>SUM(T5:T25)</f>
        <v>24.02</v>
      </c>
      <c r="U4" s="56">
        <v>2.9499999999999998E-2</v>
      </c>
      <c r="V4" s="50"/>
      <c r="W4" s="43" t="s">
        <v>42</v>
      </c>
      <c r="X4" s="77">
        <v>1.4999999999999999E-2</v>
      </c>
      <c r="Y4" s="43">
        <f>ROUNDDOWN(IF((O4-N4+1)*K4*X4/365&gt;R4,R4,(O4-N4+1)*K4*X4/365),2)</f>
        <v>12.04</v>
      </c>
      <c r="Z4" s="55">
        <f>R4-Y4</f>
        <v>0</v>
      </c>
      <c r="AA4" s="55"/>
      <c r="AB4" s="43" t="s">
        <v>61</v>
      </c>
      <c r="AD4" s="61">
        <f>(O4-N4+1)*K4*X4/365</f>
        <v>12.0822</v>
      </c>
    </row>
    <row r="5" spans="1:30" s="35" customFormat="1">
      <c r="A5" s="44"/>
      <c r="B5" s="44"/>
      <c r="C5" s="44"/>
      <c r="D5" s="44"/>
      <c r="E5" s="42"/>
      <c r="F5" s="44"/>
      <c r="G5" s="44"/>
      <c r="H5" s="42"/>
      <c r="I5" s="44"/>
      <c r="J5" s="42"/>
      <c r="K5" s="42"/>
      <c r="L5" s="44"/>
      <c r="M5" s="51"/>
      <c r="N5" s="52"/>
      <c r="O5" s="52"/>
      <c r="P5" s="75">
        <v>45006</v>
      </c>
      <c r="Q5" s="58">
        <v>2.88</v>
      </c>
      <c r="R5" s="44"/>
      <c r="S5" s="75">
        <v>45006</v>
      </c>
      <c r="T5" s="58">
        <f>(S5-N4)/360*$U$4*$K$4</f>
        <v>2.87</v>
      </c>
      <c r="U5" s="94">
        <f t="shared" ref="U5:U14" si="0">T5-Q5</f>
        <v>-0.01</v>
      </c>
      <c r="V5" s="52"/>
      <c r="W5" s="58"/>
      <c r="X5" s="42"/>
      <c r="Y5" s="44">
        <f>ROUNDDOWN((V5-N4)*K4*X4/365,2)</f>
        <v>-1848.12</v>
      </c>
      <c r="Z5" s="44"/>
      <c r="AA5" s="44"/>
      <c r="AB5" s="44"/>
    </row>
    <row r="6" spans="1:30" s="35" customFormat="1">
      <c r="A6" s="44"/>
      <c r="B6" s="44"/>
      <c r="C6" s="44"/>
      <c r="D6" s="44"/>
      <c r="E6" s="42"/>
      <c r="F6" s="44"/>
      <c r="G6" s="44"/>
      <c r="H6" s="42"/>
      <c r="I6" s="44"/>
      <c r="J6" s="42"/>
      <c r="K6" s="42"/>
      <c r="L6" s="44"/>
      <c r="M6" s="51"/>
      <c r="N6" s="52"/>
      <c r="O6" s="52"/>
      <c r="P6" s="75">
        <v>45037</v>
      </c>
      <c r="Q6" s="58">
        <v>2.54</v>
      </c>
      <c r="R6" s="44"/>
      <c r="S6" s="75">
        <v>45037</v>
      </c>
      <c r="T6" s="58">
        <f t="shared" ref="T6:T14" si="1">(S6-S5)*$K$4*$U$4/360</f>
        <v>2.54</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45067</v>
      </c>
      <c r="Q7" s="58">
        <v>2.46</v>
      </c>
      <c r="R7" s="44"/>
      <c r="S7" s="75">
        <v>45067</v>
      </c>
      <c r="T7" s="58">
        <f t="shared" si="1"/>
        <v>2.46</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45098</v>
      </c>
      <c r="Q8" s="58">
        <v>2.54</v>
      </c>
      <c r="R8" s="44"/>
      <c r="S8" s="75">
        <v>45098</v>
      </c>
      <c r="T8" s="58">
        <f t="shared" si="1"/>
        <v>2.54</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45128</v>
      </c>
      <c r="Q9" s="58">
        <v>2.46</v>
      </c>
      <c r="R9" s="44"/>
      <c r="S9" s="75">
        <v>45128</v>
      </c>
      <c r="T9" s="58">
        <f t="shared" si="1"/>
        <v>2.46</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45159</v>
      </c>
      <c r="Q10" s="58">
        <v>2.54</v>
      </c>
      <c r="R10" s="44"/>
      <c r="S10" s="75">
        <v>45159</v>
      </c>
      <c r="T10" s="58">
        <f t="shared" si="1"/>
        <v>2.54</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45190</v>
      </c>
      <c r="Q11" s="58">
        <v>2.54</v>
      </c>
      <c r="R11" s="44"/>
      <c r="S11" s="75">
        <v>45190</v>
      </c>
      <c r="T11" s="58">
        <f t="shared" si="1"/>
        <v>2.54</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45220</v>
      </c>
      <c r="Q12" s="58">
        <v>2.46</v>
      </c>
      <c r="R12" s="44"/>
      <c r="S12" s="75">
        <v>45220</v>
      </c>
      <c r="T12" s="58">
        <f t="shared" si="1"/>
        <v>2.46</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45251</v>
      </c>
      <c r="Q13" s="58">
        <v>2.54</v>
      </c>
      <c r="R13" s="44"/>
      <c r="S13" s="75">
        <v>45251</v>
      </c>
      <c r="T13" s="58">
        <f t="shared" si="1"/>
        <v>2.54</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45264</v>
      </c>
      <c r="Q14" s="58">
        <v>1.07</v>
      </c>
      <c r="R14" s="44"/>
      <c r="S14" s="75">
        <v>45264</v>
      </c>
      <c r="T14" s="58">
        <f t="shared" si="1"/>
        <v>1.07</v>
      </c>
      <c r="U14" s="78">
        <f t="shared" si="0"/>
        <v>0</v>
      </c>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5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12.04</v>
      </c>
      <c r="S114" s="43"/>
      <c r="T114" s="43"/>
      <c r="U114" s="43"/>
      <c r="V114" s="43"/>
      <c r="W114" s="43"/>
      <c r="X114" s="71"/>
      <c r="Y114" s="43">
        <f>Y92+Y70+Y48+Y26++Y4</f>
        <v>12.04</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AD116"/>
  <sheetViews>
    <sheetView topLeftCell="M1" zoomScale="90" zoomScaleNormal="90" workbookViewId="0">
      <pane ySplit="3" topLeftCell="A10" activePane="bottomLeft" state="frozen"/>
      <selection pane="bottomLeft" activeCell="N26" sqref="N26:AB26"/>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成都南环药业包装（集团）有限公司审计明细表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1088</v>
      </c>
      <c r="C4" s="43" t="s">
        <v>1089</v>
      </c>
      <c r="D4" s="43" t="s">
        <v>1090</v>
      </c>
      <c r="E4" s="71" t="s">
        <v>34</v>
      </c>
      <c r="F4" s="43" t="s">
        <v>1073</v>
      </c>
      <c r="G4" s="43" t="s">
        <v>1091</v>
      </c>
      <c r="H4" s="71" t="s">
        <v>925</v>
      </c>
      <c r="I4" s="43" t="s">
        <v>1092</v>
      </c>
      <c r="J4" s="71" t="s">
        <v>58</v>
      </c>
      <c r="K4" s="71">
        <v>850</v>
      </c>
      <c r="L4" s="43" t="s">
        <v>1093</v>
      </c>
      <c r="M4" s="49" t="s">
        <v>1094</v>
      </c>
      <c r="N4" s="50">
        <v>44874</v>
      </c>
      <c r="O4" s="50">
        <v>45167</v>
      </c>
      <c r="P4" s="43">
        <f>P14-N4</f>
        <v>293</v>
      </c>
      <c r="Q4" s="55">
        <f>SUM(Q5:Q25)</f>
        <v>31.82</v>
      </c>
      <c r="R4" s="55">
        <v>10.23</v>
      </c>
      <c r="S4" s="43"/>
      <c r="T4" s="55">
        <f>SUM(T5:T25)</f>
        <v>31.84</v>
      </c>
      <c r="U4" s="56">
        <v>4.5999999999999999E-2</v>
      </c>
      <c r="V4" s="50"/>
      <c r="W4" s="43" t="s">
        <v>1095</v>
      </c>
      <c r="X4" s="77">
        <v>1.4999999999999999E-2</v>
      </c>
      <c r="Y4" s="43">
        <f>ROUNDDOWN(IF((O4-N4+1)*K4*X4/365&gt;R4,R4,(O4-N4+1)*K4*X4/365),2)</f>
        <v>10.23</v>
      </c>
      <c r="Z4" s="55">
        <f>R4-Y4</f>
        <v>0</v>
      </c>
      <c r="AA4" s="55"/>
      <c r="AB4" s="43" t="s">
        <v>61</v>
      </c>
      <c r="AD4" s="61">
        <f>(O4-N4+1)*K4*X4/365</f>
        <v>10.2699</v>
      </c>
    </row>
    <row r="5" spans="1:30" s="35" customFormat="1">
      <c r="A5" s="44"/>
      <c r="B5" s="44"/>
      <c r="C5" s="44"/>
      <c r="D5" s="44"/>
      <c r="E5" s="42"/>
      <c r="F5" s="44"/>
      <c r="G5" s="44"/>
      <c r="H5" s="42"/>
      <c r="I5" s="44"/>
      <c r="J5" s="42"/>
      <c r="K5" s="42"/>
      <c r="L5" s="44"/>
      <c r="M5" s="51"/>
      <c r="N5" s="52"/>
      <c r="O5" s="68">
        <v>45238</v>
      </c>
      <c r="P5" s="75">
        <v>44916</v>
      </c>
      <c r="Q5" s="58">
        <v>4.5599999999999996</v>
      </c>
      <c r="R5" s="44"/>
      <c r="S5" s="75">
        <v>44916</v>
      </c>
      <c r="T5" s="58">
        <f>(S5-N4)/360*$U$4*$K$4</f>
        <v>4.5599999999999996</v>
      </c>
      <c r="U5" s="78">
        <f t="shared" ref="U5:U14" si="0">T5-Q5</f>
        <v>0</v>
      </c>
      <c r="V5" s="52"/>
      <c r="W5" s="58"/>
      <c r="X5" s="42"/>
      <c r="Y5" s="44">
        <f>ROUNDDOWN((V5-N4)*K4*X4/365,2)</f>
        <v>-1567.51</v>
      </c>
      <c r="Z5" s="44"/>
      <c r="AA5" s="44"/>
      <c r="AB5" s="44"/>
    </row>
    <row r="6" spans="1:30" s="35" customFormat="1">
      <c r="A6" s="44"/>
      <c r="B6" s="44"/>
      <c r="C6" s="44"/>
      <c r="D6" s="44"/>
      <c r="E6" s="42"/>
      <c r="F6" s="44"/>
      <c r="G6" s="44"/>
      <c r="H6" s="42"/>
      <c r="I6" s="44"/>
      <c r="J6" s="42"/>
      <c r="K6" s="42"/>
      <c r="L6" s="44"/>
      <c r="M6" s="51"/>
      <c r="N6" s="52"/>
      <c r="O6" s="52"/>
      <c r="P6" s="75">
        <v>44947</v>
      </c>
      <c r="Q6" s="58">
        <v>3.37</v>
      </c>
      <c r="R6" s="44"/>
      <c r="S6" s="75">
        <v>44947</v>
      </c>
      <c r="T6" s="58">
        <f t="shared" ref="T6:T14" si="1">(S6-S5)*$K$4*$U$4/360</f>
        <v>3.37</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44978</v>
      </c>
      <c r="Q7" s="58">
        <v>3.37</v>
      </c>
      <c r="R7" s="44"/>
      <c r="S7" s="75">
        <v>44978</v>
      </c>
      <c r="T7" s="58">
        <f t="shared" si="1"/>
        <v>3.37</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45006</v>
      </c>
      <c r="Q8" s="58">
        <v>3.04</v>
      </c>
      <c r="R8" s="44"/>
      <c r="S8" s="75">
        <v>45006</v>
      </c>
      <c r="T8" s="58">
        <f t="shared" si="1"/>
        <v>3.04</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45037</v>
      </c>
      <c r="Q9" s="58">
        <v>3.37</v>
      </c>
      <c r="R9" s="44"/>
      <c r="S9" s="75">
        <v>45037</v>
      </c>
      <c r="T9" s="58">
        <f t="shared" si="1"/>
        <v>3.37</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45067</v>
      </c>
      <c r="Q10" s="58">
        <v>3.25</v>
      </c>
      <c r="R10" s="44"/>
      <c r="S10" s="75">
        <v>45067</v>
      </c>
      <c r="T10" s="58">
        <f t="shared" si="1"/>
        <v>3.26</v>
      </c>
      <c r="U10" s="78">
        <f t="shared" si="0"/>
        <v>0.01</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45098</v>
      </c>
      <c r="Q11" s="58">
        <v>3.37</v>
      </c>
      <c r="R11" s="44"/>
      <c r="S11" s="75">
        <v>45098</v>
      </c>
      <c r="T11" s="58">
        <f t="shared" si="1"/>
        <v>3.37</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45128</v>
      </c>
      <c r="Q12" s="58">
        <v>3.25</v>
      </c>
      <c r="R12" s="44"/>
      <c r="S12" s="75">
        <v>45128</v>
      </c>
      <c r="T12" s="58">
        <f t="shared" si="1"/>
        <v>3.26</v>
      </c>
      <c r="U12" s="78">
        <f t="shared" si="0"/>
        <v>0.01</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45159</v>
      </c>
      <c r="Q13" s="58">
        <v>3.37</v>
      </c>
      <c r="R13" s="44"/>
      <c r="S13" s="75">
        <v>45159</v>
      </c>
      <c r="T13" s="58">
        <f t="shared" si="1"/>
        <v>3.37</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45167</v>
      </c>
      <c r="Q14" s="58">
        <v>0.87</v>
      </c>
      <c r="R14" s="44"/>
      <c r="S14" s="75">
        <v>45167</v>
      </c>
      <c r="T14" s="58">
        <f t="shared" si="1"/>
        <v>0.87</v>
      </c>
      <c r="U14" s="78">
        <f t="shared" si="0"/>
        <v>0</v>
      </c>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customHeight="1">
      <c r="A26" s="43">
        <v>2</v>
      </c>
      <c r="B26" s="43" t="s">
        <v>1088</v>
      </c>
      <c r="C26" s="43" t="s">
        <v>1089</v>
      </c>
      <c r="D26" s="43" t="s">
        <v>1090</v>
      </c>
      <c r="E26" s="71" t="s">
        <v>34</v>
      </c>
      <c r="F26" s="43" t="s">
        <v>1073</v>
      </c>
      <c r="G26" s="43" t="s">
        <v>1091</v>
      </c>
      <c r="H26" s="71" t="s">
        <v>925</v>
      </c>
      <c r="I26" s="43" t="s">
        <v>1092</v>
      </c>
      <c r="J26" s="71" t="s">
        <v>58</v>
      </c>
      <c r="K26" s="71">
        <v>900</v>
      </c>
      <c r="L26" s="43" t="s">
        <v>1096</v>
      </c>
      <c r="M26" s="49" t="s">
        <v>1097</v>
      </c>
      <c r="N26" s="50">
        <v>44875</v>
      </c>
      <c r="O26" s="50">
        <v>45167</v>
      </c>
      <c r="P26" s="43">
        <f>P36-N26</f>
        <v>292</v>
      </c>
      <c r="Q26" s="55">
        <f>SUM(Q27:Q32)</f>
        <v>22.1</v>
      </c>
      <c r="R26" s="55">
        <v>10.8</v>
      </c>
      <c r="S26" s="43"/>
      <c r="T26" s="43">
        <f>SUM(T27:T32)</f>
        <v>22.1</v>
      </c>
      <c r="U26" s="56">
        <v>4.5999999999999999E-2</v>
      </c>
      <c r="V26" s="50"/>
      <c r="W26" s="43" t="s">
        <v>1098</v>
      </c>
      <c r="X26" s="79">
        <v>1.4999999999999999E-2</v>
      </c>
      <c r="Y26" s="43">
        <f>ROUNDDOWN(IF((O26-N26+1)*K26*X26/365&gt;R26,R26,(O26-N26+1)*K26*X26/365),2)</f>
        <v>10.8</v>
      </c>
      <c r="Z26" s="95">
        <f>R26-Y26</f>
        <v>0</v>
      </c>
      <c r="AA26" s="43"/>
      <c r="AB26" s="43" t="s">
        <v>61</v>
      </c>
    </row>
    <row r="27" spans="1:28" s="35" customFormat="1">
      <c r="A27" s="44"/>
      <c r="B27" s="44"/>
      <c r="C27" s="44"/>
      <c r="D27" s="44"/>
      <c r="E27" s="42"/>
      <c r="F27" s="44"/>
      <c r="G27" s="44"/>
      <c r="H27" s="42"/>
      <c r="I27" s="44"/>
      <c r="J27" s="42"/>
      <c r="K27" s="42"/>
      <c r="L27" s="44"/>
      <c r="M27" s="51"/>
      <c r="N27" s="52"/>
      <c r="O27" s="68">
        <v>45239</v>
      </c>
      <c r="P27" s="75">
        <v>44916</v>
      </c>
      <c r="Q27" s="58">
        <v>4.72</v>
      </c>
      <c r="R27" s="75"/>
      <c r="S27" s="75">
        <v>44916</v>
      </c>
      <c r="T27" s="58">
        <f>(S27-N26)/360*$U$26*$K$26</f>
        <v>4.72</v>
      </c>
      <c r="U27" s="78">
        <f t="shared" ref="U27:U36" si="2">T27-Q27</f>
        <v>0</v>
      </c>
      <c r="V27" s="52"/>
      <c r="W27" s="44"/>
      <c r="X27" s="42"/>
      <c r="Y27" s="62">
        <f>ROUNDUP((V27-N26)*K26*X26/365,2)</f>
        <v>-1659.77</v>
      </c>
      <c r="Z27" s="44"/>
      <c r="AA27" s="44"/>
      <c r="AB27" s="44"/>
    </row>
    <row r="28" spans="1:28" s="35" customFormat="1">
      <c r="A28" s="44"/>
      <c r="B28" s="44"/>
      <c r="C28" s="44"/>
      <c r="D28" s="44"/>
      <c r="E28" s="42"/>
      <c r="F28" s="44"/>
      <c r="G28" s="44"/>
      <c r="H28" s="42"/>
      <c r="I28" s="44"/>
      <c r="J28" s="42"/>
      <c r="K28" s="42"/>
      <c r="L28" s="44"/>
      <c r="M28" s="51"/>
      <c r="N28" s="52"/>
      <c r="O28" s="52"/>
      <c r="P28" s="75">
        <v>44947</v>
      </c>
      <c r="Q28" s="58">
        <v>3.57</v>
      </c>
      <c r="R28" s="75"/>
      <c r="S28" s="75">
        <v>44947</v>
      </c>
      <c r="T28" s="58">
        <f t="shared" ref="T28:T36" si="3">(S28-S27)*$U$26*$K$26/360</f>
        <v>3.57</v>
      </c>
      <c r="U28" s="78">
        <f t="shared" si="2"/>
        <v>0</v>
      </c>
      <c r="V28" s="44"/>
      <c r="W28" s="44"/>
      <c r="X28" s="42"/>
      <c r="Y28" s="62">
        <f>ROUNDUP((O26-V27+1)*(K26-W27)*X26/365,2)</f>
        <v>1670.6</v>
      </c>
      <c r="Z28" s="44"/>
      <c r="AA28" s="44"/>
      <c r="AB28" s="44"/>
    </row>
    <row r="29" spans="1:28" s="35" customFormat="1">
      <c r="A29" s="44"/>
      <c r="B29" s="44"/>
      <c r="C29" s="44"/>
      <c r="D29" s="44"/>
      <c r="E29" s="42"/>
      <c r="F29" s="44"/>
      <c r="G29" s="44"/>
      <c r="H29" s="42"/>
      <c r="I29" s="44"/>
      <c r="J29" s="42"/>
      <c r="K29" s="42"/>
      <c r="L29" s="44"/>
      <c r="M29" s="51"/>
      <c r="N29" s="52"/>
      <c r="O29" s="52"/>
      <c r="P29" s="75">
        <v>44978</v>
      </c>
      <c r="Q29" s="58">
        <v>3.57</v>
      </c>
      <c r="R29" s="44"/>
      <c r="S29" s="75">
        <v>44978</v>
      </c>
      <c r="T29" s="58">
        <f t="shared" si="3"/>
        <v>3.57</v>
      </c>
      <c r="U29" s="78">
        <f t="shared" si="2"/>
        <v>0</v>
      </c>
      <c r="V29" s="44"/>
      <c r="W29" s="44"/>
      <c r="X29" s="42"/>
      <c r="Y29" s="44"/>
      <c r="Z29" s="44"/>
      <c r="AA29" s="44"/>
      <c r="AB29" s="44"/>
    </row>
    <row r="30" spans="1:28" s="35" customFormat="1">
      <c r="A30" s="44"/>
      <c r="B30" s="44"/>
      <c r="C30" s="44"/>
      <c r="D30" s="44"/>
      <c r="E30" s="42"/>
      <c r="F30" s="44"/>
      <c r="G30" s="44"/>
      <c r="H30" s="42"/>
      <c r="I30" s="44"/>
      <c r="J30" s="42"/>
      <c r="K30" s="42"/>
      <c r="L30" s="44"/>
      <c r="M30" s="51"/>
      <c r="N30" s="52"/>
      <c r="O30" s="52"/>
      <c r="P30" s="75">
        <v>45006</v>
      </c>
      <c r="Q30" s="58">
        <v>3.22</v>
      </c>
      <c r="R30" s="44"/>
      <c r="S30" s="75">
        <v>45006</v>
      </c>
      <c r="T30" s="58">
        <f t="shared" si="3"/>
        <v>3.22</v>
      </c>
      <c r="U30" s="78">
        <f t="shared" si="2"/>
        <v>0</v>
      </c>
      <c r="V30" s="44"/>
      <c r="W30" s="44"/>
      <c r="X30" s="42"/>
      <c r="Y30" s="44"/>
      <c r="Z30" s="44"/>
      <c r="AA30" s="44"/>
      <c r="AB30" s="44"/>
    </row>
    <row r="31" spans="1:28" s="35" customFormat="1">
      <c r="A31" s="44"/>
      <c r="B31" s="44"/>
      <c r="C31" s="44"/>
      <c r="D31" s="44"/>
      <c r="E31" s="42"/>
      <c r="F31" s="44"/>
      <c r="G31" s="44"/>
      <c r="H31" s="42"/>
      <c r="I31" s="44"/>
      <c r="J31" s="42"/>
      <c r="K31" s="42"/>
      <c r="L31" s="44"/>
      <c r="M31" s="51"/>
      <c r="N31" s="52"/>
      <c r="O31" s="52"/>
      <c r="P31" s="75">
        <v>45037</v>
      </c>
      <c r="Q31" s="58">
        <v>3.57</v>
      </c>
      <c r="R31" s="44"/>
      <c r="S31" s="75">
        <v>45037</v>
      </c>
      <c r="T31" s="58">
        <f t="shared" si="3"/>
        <v>3.57</v>
      </c>
      <c r="U31" s="78">
        <f t="shared" si="2"/>
        <v>0</v>
      </c>
      <c r="V31" s="44"/>
      <c r="W31" s="44"/>
      <c r="X31" s="42"/>
      <c r="Y31" s="44"/>
      <c r="Z31" s="44"/>
      <c r="AA31" s="44"/>
      <c r="AB31" s="44"/>
    </row>
    <row r="32" spans="1:28" s="35" customFormat="1">
      <c r="A32" s="44"/>
      <c r="B32" s="44"/>
      <c r="C32" s="44"/>
      <c r="D32" s="44"/>
      <c r="E32" s="42"/>
      <c r="F32" s="44"/>
      <c r="G32" s="44"/>
      <c r="H32" s="42"/>
      <c r="I32" s="44"/>
      <c r="J32" s="42"/>
      <c r="K32" s="42"/>
      <c r="L32" s="44"/>
      <c r="M32" s="51"/>
      <c r="N32" s="52"/>
      <c r="O32" s="52"/>
      <c r="P32" s="75">
        <v>45067</v>
      </c>
      <c r="Q32" s="58">
        <v>3.45</v>
      </c>
      <c r="R32" s="44"/>
      <c r="S32" s="75">
        <v>45067</v>
      </c>
      <c r="T32" s="58">
        <f t="shared" si="3"/>
        <v>3.45</v>
      </c>
      <c r="U32" s="78">
        <f t="shared" si="2"/>
        <v>0</v>
      </c>
      <c r="V32" s="44"/>
      <c r="W32" s="44"/>
      <c r="X32" s="42"/>
      <c r="Y32" s="44"/>
      <c r="Z32" s="44"/>
      <c r="AA32" s="44"/>
      <c r="AB32" s="44"/>
    </row>
    <row r="33" spans="1:28" s="35" customFormat="1">
      <c r="A33" s="44"/>
      <c r="B33" s="44"/>
      <c r="C33" s="44"/>
      <c r="D33" s="44"/>
      <c r="E33" s="42"/>
      <c r="F33" s="44"/>
      <c r="G33" s="44"/>
      <c r="H33" s="42"/>
      <c r="I33" s="44"/>
      <c r="J33" s="42"/>
      <c r="K33" s="42"/>
      <c r="L33" s="44"/>
      <c r="M33" s="51"/>
      <c r="N33" s="52"/>
      <c r="O33" s="52"/>
      <c r="P33" s="75">
        <v>45098</v>
      </c>
      <c r="Q33" s="58">
        <v>3.57</v>
      </c>
      <c r="R33" s="44"/>
      <c r="S33" s="75">
        <v>45098</v>
      </c>
      <c r="T33" s="58">
        <f t="shared" si="3"/>
        <v>3.57</v>
      </c>
      <c r="U33" s="78">
        <f t="shared" si="2"/>
        <v>0</v>
      </c>
      <c r="V33" s="44"/>
      <c r="W33" s="44"/>
      <c r="X33" s="42"/>
      <c r="Y33" s="44"/>
      <c r="Z33" s="44"/>
      <c r="AA33" s="44"/>
      <c r="AB33" s="44"/>
    </row>
    <row r="34" spans="1:28" s="35" customFormat="1">
      <c r="A34" s="44"/>
      <c r="B34" s="44"/>
      <c r="C34" s="44"/>
      <c r="D34" s="44"/>
      <c r="E34" s="42"/>
      <c r="F34" s="44"/>
      <c r="G34" s="44"/>
      <c r="H34" s="42"/>
      <c r="I34" s="44"/>
      <c r="J34" s="42"/>
      <c r="K34" s="42"/>
      <c r="L34" s="44"/>
      <c r="M34" s="51"/>
      <c r="N34" s="52"/>
      <c r="O34" s="52"/>
      <c r="P34" s="75">
        <v>45128</v>
      </c>
      <c r="Q34" s="58">
        <v>3.45</v>
      </c>
      <c r="R34" s="44"/>
      <c r="S34" s="75">
        <v>45128</v>
      </c>
      <c r="T34" s="58">
        <f t="shared" si="3"/>
        <v>3.45</v>
      </c>
      <c r="U34" s="78">
        <f t="shared" si="2"/>
        <v>0</v>
      </c>
      <c r="V34" s="44"/>
      <c r="W34" s="44"/>
      <c r="X34" s="42"/>
      <c r="Y34" s="44"/>
      <c r="Z34" s="44"/>
      <c r="AA34" s="44"/>
      <c r="AB34" s="44"/>
    </row>
    <row r="35" spans="1:28" s="35" customFormat="1">
      <c r="A35" s="44"/>
      <c r="B35" s="44"/>
      <c r="C35" s="44"/>
      <c r="D35" s="44"/>
      <c r="E35" s="42"/>
      <c r="F35" s="44"/>
      <c r="G35" s="44"/>
      <c r="H35" s="42"/>
      <c r="I35" s="44"/>
      <c r="J35" s="42"/>
      <c r="K35" s="42"/>
      <c r="L35" s="44"/>
      <c r="M35" s="51"/>
      <c r="N35" s="52"/>
      <c r="O35" s="52"/>
      <c r="P35" s="75">
        <v>45159</v>
      </c>
      <c r="Q35" s="58">
        <v>3.57</v>
      </c>
      <c r="R35" s="44"/>
      <c r="S35" s="75">
        <v>45159</v>
      </c>
      <c r="T35" s="58">
        <f t="shared" si="3"/>
        <v>3.57</v>
      </c>
      <c r="U35" s="78">
        <f t="shared" si="2"/>
        <v>0</v>
      </c>
      <c r="V35" s="44"/>
      <c r="W35" s="44"/>
      <c r="X35" s="42"/>
      <c r="Y35" s="44"/>
      <c r="Z35" s="44"/>
      <c r="AA35" s="44"/>
      <c r="AB35" s="44"/>
    </row>
    <row r="36" spans="1:28" s="35" customFormat="1">
      <c r="A36" s="44"/>
      <c r="B36" s="44"/>
      <c r="C36" s="44"/>
      <c r="D36" s="44"/>
      <c r="E36" s="42"/>
      <c r="F36" s="44"/>
      <c r="G36" s="44"/>
      <c r="H36" s="42"/>
      <c r="I36" s="44"/>
      <c r="J36" s="42"/>
      <c r="K36" s="42"/>
      <c r="L36" s="44"/>
      <c r="M36" s="51"/>
      <c r="N36" s="52"/>
      <c r="O36" s="52"/>
      <c r="P36" s="75">
        <v>45167</v>
      </c>
      <c r="Q36" s="58">
        <v>0.92</v>
      </c>
      <c r="R36" s="44"/>
      <c r="S36" s="75">
        <v>45167</v>
      </c>
      <c r="T36" s="58">
        <f t="shared" si="3"/>
        <v>0.92</v>
      </c>
      <c r="U36" s="78">
        <f t="shared" si="2"/>
        <v>0</v>
      </c>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4">B48</f>
        <v>0</v>
      </c>
      <c r="C70" s="43">
        <f t="shared" si="4"/>
        <v>0</v>
      </c>
      <c r="D70" s="43">
        <f t="shared" si="4"/>
        <v>0</v>
      </c>
      <c r="E70" s="71">
        <f t="shared" si="4"/>
        <v>0</v>
      </c>
      <c r="F70" s="43">
        <f t="shared" si="4"/>
        <v>0</v>
      </c>
      <c r="G70" s="43">
        <f t="shared" si="4"/>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5">B70</f>
        <v>0</v>
      </c>
      <c r="C92" s="43">
        <f t="shared" si="5"/>
        <v>0</v>
      </c>
      <c r="D92" s="43">
        <f t="shared" si="5"/>
        <v>0</v>
      </c>
      <c r="E92" s="71">
        <f t="shared" si="5"/>
        <v>0</v>
      </c>
      <c r="F92" s="43">
        <f t="shared" si="5"/>
        <v>0</v>
      </c>
      <c r="G92" s="43">
        <f t="shared" si="5"/>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1750</v>
      </c>
      <c r="L114" s="43"/>
      <c r="M114" s="49"/>
      <c r="N114" s="50"/>
      <c r="O114" s="50"/>
      <c r="P114" s="76"/>
      <c r="Q114" s="43"/>
      <c r="R114" s="43">
        <f>R92+R70+R48+R26++R4</f>
        <v>21.03</v>
      </c>
      <c r="S114" s="43"/>
      <c r="T114" s="43"/>
      <c r="U114" s="43"/>
      <c r="V114" s="43"/>
      <c r="W114" s="43"/>
      <c r="X114" s="71"/>
      <c r="Y114" s="43">
        <f>Y92+Y70+Y48+Y26++Y4</f>
        <v>21.03</v>
      </c>
      <c r="Z114" s="43"/>
      <c r="AA114" s="43"/>
      <c r="AB114" s="43"/>
    </row>
    <row r="115" spans="1:28">
      <c r="I115" s="36" t="s">
        <v>49</v>
      </c>
      <c r="K115" s="72">
        <f>IF(K114&gt;3000,K116,K114)</f>
        <v>1750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D116"/>
  <sheetViews>
    <sheetView topLeftCell="B1" workbookViewId="0">
      <pane ySplit="3" topLeftCell="A4" activePane="bottomLeft" state="frozen"/>
      <selection pane="bottomLeft" activeCell="N115" sqref="N115"/>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四川兰晨管业有限公司审计明细表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26" customHeight="1">
      <c r="A4" s="43">
        <v>1</v>
      </c>
      <c r="B4" s="43" t="s">
        <v>710</v>
      </c>
      <c r="C4" s="43" t="s">
        <v>1071</v>
      </c>
      <c r="D4" s="43" t="s">
        <v>1099</v>
      </c>
      <c r="E4" s="71" t="s">
        <v>1100</v>
      </c>
      <c r="F4" s="43" t="s">
        <v>1073</v>
      </c>
      <c r="G4" s="43" t="s">
        <v>1101</v>
      </c>
      <c r="H4" s="71" t="s">
        <v>71</v>
      </c>
      <c r="I4" s="43" t="s">
        <v>1102</v>
      </c>
      <c r="J4" s="71" t="s">
        <v>58</v>
      </c>
      <c r="K4" s="71">
        <v>1000</v>
      </c>
      <c r="L4" s="43" t="s">
        <v>1103</v>
      </c>
      <c r="M4" s="49" t="s">
        <v>1103</v>
      </c>
      <c r="N4" s="50">
        <v>45240</v>
      </c>
      <c r="O4" s="50">
        <v>45291</v>
      </c>
      <c r="P4" s="43">
        <f>P6-N4</f>
        <v>132</v>
      </c>
      <c r="Q4" s="55">
        <f>SUM(Q5:Q25)</f>
        <v>12.65</v>
      </c>
      <c r="R4" s="55">
        <v>2.14</v>
      </c>
      <c r="S4" s="43"/>
      <c r="T4" s="55">
        <f>SUM(T5:T25)</f>
        <v>12.65</v>
      </c>
      <c r="U4" s="56">
        <v>3.4500000000000003E-2</v>
      </c>
      <c r="V4" s="50"/>
      <c r="W4" s="43" t="s">
        <v>42</v>
      </c>
      <c r="X4" s="77">
        <v>1.4999999999999999E-2</v>
      </c>
      <c r="Y4" s="43">
        <f>ROUNDDOWN(IF((O4-N4+1)*K4*X4/365&gt;R4,R4,(O4-N4+1)*K4*X4/365),2)</f>
        <v>2.13</v>
      </c>
      <c r="Z4" s="55">
        <f>R4-Y4</f>
        <v>0.01</v>
      </c>
      <c r="AA4" s="55" t="s">
        <v>43</v>
      </c>
      <c r="AB4" s="43" t="s">
        <v>61</v>
      </c>
      <c r="AD4" s="61">
        <f>(O4-N4+1)*K4*X4/365</f>
        <v>2.137</v>
      </c>
    </row>
    <row r="5" spans="1:30" s="35" customFormat="1">
      <c r="A5" s="44"/>
      <c r="B5" s="44"/>
      <c r="C5" s="44"/>
      <c r="D5" s="44"/>
      <c r="E5" s="42"/>
      <c r="F5" s="44"/>
      <c r="G5" s="44"/>
      <c r="H5" s="42"/>
      <c r="I5" s="44"/>
      <c r="J5" s="42"/>
      <c r="K5" s="42"/>
      <c r="L5" s="44"/>
      <c r="M5" s="51"/>
      <c r="N5" s="52"/>
      <c r="O5" s="50" t="s">
        <v>1104</v>
      </c>
      <c r="P5" s="75">
        <v>45281</v>
      </c>
      <c r="Q5" s="58">
        <v>3.93</v>
      </c>
      <c r="R5" s="44"/>
      <c r="S5" s="75">
        <v>45281</v>
      </c>
      <c r="T5" s="58">
        <f>(S5-N4)/360*$U$4*$K$4</f>
        <v>3.93</v>
      </c>
      <c r="U5" s="78">
        <f>T5-Q5</f>
        <v>0</v>
      </c>
      <c r="V5" s="52"/>
      <c r="W5" s="58"/>
      <c r="X5" s="42"/>
      <c r="Y5" s="44">
        <f>ROUNDDOWN((V5-N4)*K4*X4/365,2)</f>
        <v>-1859.17</v>
      </c>
      <c r="Z5" s="44"/>
      <c r="AA5" s="44"/>
      <c r="AB5" s="44"/>
    </row>
    <row r="6" spans="1:30" s="35" customFormat="1">
      <c r="A6" s="44"/>
      <c r="B6" s="44"/>
      <c r="C6" s="44"/>
      <c r="D6" s="44"/>
      <c r="E6" s="42"/>
      <c r="F6" s="44"/>
      <c r="G6" s="44"/>
      <c r="H6" s="42"/>
      <c r="I6" s="44"/>
      <c r="J6" s="42"/>
      <c r="K6" s="42"/>
      <c r="L6" s="44"/>
      <c r="M6" s="51"/>
      <c r="N6" s="52"/>
      <c r="O6" s="52"/>
      <c r="P6" s="75">
        <v>45372</v>
      </c>
      <c r="Q6" s="58">
        <v>8.7200000000000006</v>
      </c>
      <c r="R6" s="44"/>
      <c r="S6" s="75">
        <v>45372</v>
      </c>
      <c r="T6" s="58">
        <f>(S6-S5)*$K$4*$U$4/360</f>
        <v>8.7200000000000006</v>
      </c>
      <c r="U6" s="78">
        <f>T6-Q6</f>
        <v>0</v>
      </c>
      <c r="V6" s="75"/>
      <c r="W6" s="58"/>
      <c r="X6" s="42"/>
      <c r="Y6" s="44"/>
      <c r="Z6" s="44"/>
      <c r="AA6" s="44"/>
      <c r="AB6" s="44"/>
    </row>
    <row r="7" spans="1:30" s="35" customFormat="1" hidden="1">
      <c r="A7" s="44"/>
      <c r="B7" s="44"/>
      <c r="C7" s="44"/>
      <c r="D7" s="44"/>
      <c r="E7" s="42"/>
      <c r="F7" s="44"/>
      <c r="G7" s="44"/>
      <c r="H7" s="42"/>
      <c r="I7" s="44"/>
      <c r="J7" s="42"/>
      <c r="K7" s="42"/>
      <c r="L7" s="44"/>
      <c r="M7" s="51"/>
      <c r="N7" s="52"/>
      <c r="O7" s="52"/>
      <c r="P7" s="75"/>
      <c r="Q7" s="58"/>
      <c r="R7" s="44"/>
      <c r="S7" s="75"/>
      <c r="T7" s="58"/>
      <c r="U7" s="78"/>
      <c r="V7" s="75"/>
      <c r="W7" s="58"/>
      <c r="X7" s="42"/>
      <c r="Y7" s="44"/>
      <c r="Z7" s="44"/>
      <c r="AA7" s="44"/>
      <c r="AB7" s="44"/>
    </row>
    <row r="8" spans="1:30" s="35" customFormat="1" hidden="1">
      <c r="A8" s="44"/>
      <c r="B8" s="44"/>
      <c r="C8" s="44"/>
      <c r="D8" s="44"/>
      <c r="E8" s="42"/>
      <c r="F8" s="44"/>
      <c r="G8" s="44"/>
      <c r="H8" s="42"/>
      <c r="I8" s="44"/>
      <c r="J8" s="42"/>
      <c r="K8" s="42"/>
      <c r="L8" s="44"/>
      <c r="M8" s="51"/>
      <c r="N8" s="52"/>
      <c r="O8" s="52"/>
      <c r="P8" s="75"/>
      <c r="Q8" s="58"/>
      <c r="R8" s="44"/>
      <c r="S8" s="75"/>
      <c r="T8" s="58"/>
      <c r="U8" s="78"/>
      <c r="V8" s="75"/>
      <c r="W8" s="58"/>
      <c r="X8" s="42"/>
      <c r="Y8" s="44"/>
      <c r="Z8" s="44"/>
      <c r="AA8" s="44"/>
      <c r="AB8" s="44"/>
    </row>
    <row r="9" spans="1:30" s="35" customFormat="1" hidden="1">
      <c r="A9" s="44"/>
      <c r="B9" s="44"/>
      <c r="C9" s="44"/>
      <c r="D9" s="44"/>
      <c r="E9" s="42"/>
      <c r="F9" s="44"/>
      <c r="G9" s="44"/>
      <c r="H9" s="42"/>
      <c r="I9" s="44"/>
      <c r="J9" s="42"/>
      <c r="K9" s="42"/>
      <c r="L9" s="44"/>
      <c r="M9" s="51"/>
      <c r="N9" s="52"/>
      <c r="O9" s="52"/>
      <c r="P9" s="75"/>
      <c r="Q9" s="58"/>
      <c r="R9" s="44"/>
      <c r="S9" s="75"/>
      <c r="T9" s="58"/>
      <c r="U9" s="78"/>
      <c r="V9" s="75"/>
      <c r="W9" s="58"/>
      <c r="X9" s="42"/>
      <c r="Y9" s="44"/>
      <c r="Z9" s="44"/>
      <c r="AA9" s="44"/>
      <c r="AB9" s="44"/>
    </row>
    <row r="10" spans="1:30" s="35" customFormat="1" hidden="1">
      <c r="A10" s="44"/>
      <c r="B10" s="44"/>
      <c r="C10" s="44"/>
      <c r="D10" s="44"/>
      <c r="E10" s="42"/>
      <c r="F10" s="44"/>
      <c r="G10" s="44"/>
      <c r="H10" s="42"/>
      <c r="I10" s="44"/>
      <c r="J10" s="42"/>
      <c r="K10" s="42"/>
      <c r="L10" s="44"/>
      <c r="M10" s="51"/>
      <c r="N10" s="52"/>
      <c r="O10" s="52"/>
      <c r="P10" s="75"/>
      <c r="Q10" s="58"/>
      <c r="R10" s="44"/>
      <c r="S10" s="75"/>
      <c r="T10" s="58"/>
      <c r="U10" s="78"/>
      <c r="V10" s="75"/>
      <c r="W10" s="58"/>
      <c r="X10" s="42"/>
      <c r="Y10" s="44"/>
      <c r="Z10" s="44"/>
      <c r="AA10" s="44"/>
      <c r="AB10" s="44"/>
    </row>
    <row r="11" spans="1:30" s="35" customFormat="1" hidden="1">
      <c r="A11" s="44"/>
      <c r="B11" s="44"/>
      <c r="C11" s="44"/>
      <c r="D11" s="44"/>
      <c r="E11" s="42"/>
      <c r="F11" s="44"/>
      <c r="G11" s="44"/>
      <c r="H11" s="42"/>
      <c r="I11" s="44"/>
      <c r="J11" s="42"/>
      <c r="K11" s="42"/>
      <c r="L11" s="44"/>
      <c r="M11" s="51"/>
      <c r="N11" s="52"/>
      <c r="O11" s="52"/>
      <c r="P11" s="75"/>
      <c r="Q11" s="58"/>
      <c r="R11" s="44"/>
      <c r="S11" s="75"/>
      <c r="T11" s="58"/>
      <c r="U11" s="78"/>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5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0">B26</f>
        <v>0</v>
      </c>
      <c r="C48" s="43">
        <f t="shared" si="0"/>
        <v>0</v>
      </c>
      <c r="D48" s="43">
        <f t="shared" si="0"/>
        <v>0</v>
      </c>
      <c r="E48" s="71">
        <f t="shared" si="0"/>
        <v>0</v>
      </c>
      <c r="F48" s="43">
        <f t="shared" si="0"/>
        <v>0</v>
      </c>
      <c r="G48" s="43">
        <f t="shared" si="0"/>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1">B48</f>
        <v>0</v>
      </c>
      <c r="C70" s="43">
        <f t="shared" si="1"/>
        <v>0</v>
      </c>
      <c r="D70" s="43">
        <f t="shared" si="1"/>
        <v>0</v>
      </c>
      <c r="E70" s="71">
        <f t="shared" si="1"/>
        <v>0</v>
      </c>
      <c r="F70" s="43">
        <f t="shared" si="1"/>
        <v>0</v>
      </c>
      <c r="G70" s="43">
        <f t="shared" si="1"/>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2">B70</f>
        <v>0</v>
      </c>
      <c r="C92" s="43">
        <f t="shared" si="2"/>
        <v>0</v>
      </c>
      <c r="D92" s="43">
        <f t="shared" si="2"/>
        <v>0</v>
      </c>
      <c r="E92" s="71">
        <f t="shared" si="2"/>
        <v>0</v>
      </c>
      <c r="F92" s="43">
        <f t="shared" si="2"/>
        <v>0</v>
      </c>
      <c r="G92" s="43">
        <f t="shared" si="2"/>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2.14</v>
      </c>
      <c r="S114" s="43"/>
      <c r="T114" s="43"/>
      <c r="U114" s="43"/>
      <c r="V114" s="43"/>
      <c r="W114" s="43"/>
      <c r="X114" s="71"/>
      <c r="Y114" s="43">
        <f>Y92+Y70+Y48+Y26++Y4</f>
        <v>2.13</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D116"/>
  <sheetViews>
    <sheetView topLeftCell="H1" zoomScale="70" zoomScaleNormal="70" workbookViewId="0">
      <pane ySplit="3" topLeftCell="A4" activePane="bottomLeft" state="frozen"/>
      <selection pane="bottomLeft" activeCell="N4" sqref="N4:AB4"/>
    </sheetView>
  </sheetViews>
  <sheetFormatPr defaultColWidth="9" defaultRowHeight="14"/>
  <cols>
    <col min="1" max="6" width="9" style="36"/>
    <col min="7" max="7" width="9" style="36" customWidth="1"/>
    <col min="8"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四川川能智网实业有限公司审计明细表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50.15"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696</v>
      </c>
      <c r="C4" s="43" t="s">
        <v>1105</v>
      </c>
      <c r="D4" s="43" t="s">
        <v>1106</v>
      </c>
      <c r="E4" s="43" t="s">
        <v>696</v>
      </c>
      <c r="F4" s="43" t="s">
        <v>1107</v>
      </c>
      <c r="G4" s="43" t="s">
        <v>1108</v>
      </c>
      <c r="H4" s="43" t="s">
        <v>430</v>
      </c>
      <c r="I4" s="43" t="s">
        <v>1109</v>
      </c>
      <c r="J4" s="71" t="s">
        <v>1110</v>
      </c>
      <c r="K4" s="71">
        <v>1300</v>
      </c>
      <c r="L4" s="43" t="s">
        <v>1111</v>
      </c>
      <c r="M4" s="49" t="s">
        <v>1112</v>
      </c>
      <c r="N4" s="50">
        <v>45065</v>
      </c>
      <c r="O4" s="50">
        <v>45156</v>
      </c>
      <c r="P4" s="43">
        <f>P8-N4</f>
        <v>94</v>
      </c>
      <c r="Q4" s="55">
        <f>SUM(Q5:Q25)</f>
        <v>11.3</v>
      </c>
      <c r="R4" s="55">
        <v>6.48</v>
      </c>
      <c r="S4" s="43"/>
      <c r="T4" s="55">
        <f>SUM(T5:T25)</f>
        <v>11.55</v>
      </c>
      <c r="U4" s="56">
        <v>3.4000000000000002E-2</v>
      </c>
      <c r="V4" s="50"/>
      <c r="W4" s="43" t="s">
        <v>1113</v>
      </c>
      <c r="X4" s="57">
        <v>0.02</v>
      </c>
      <c r="Y4" s="43">
        <f>ROUNDDOWN(IF((O4-N4+1)*K4*X4/365&gt;R4,R4,(O4-N4+1)*K4*X4/365),2)</f>
        <v>6.48</v>
      </c>
      <c r="Z4" s="55">
        <f>R4-Y4</f>
        <v>0</v>
      </c>
      <c r="AA4" s="55"/>
      <c r="AB4" s="43" t="s">
        <v>61</v>
      </c>
      <c r="AD4" s="61">
        <f>(O4-N4+1)*K4*X4/365</f>
        <v>6.5533999999999999</v>
      </c>
    </row>
    <row r="5" spans="1:30" s="35" customFormat="1">
      <c r="A5" s="44"/>
      <c r="B5" s="44"/>
      <c r="C5" s="44"/>
      <c r="D5" s="44"/>
      <c r="E5" s="44"/>
      <c r="F5" s="44"/>
      <c r="G5" s="44"/>
      <c r="H5" s="44"/>
      <c r="I5" s="44"/>
      <c r="J5" s="42"/>
      <c r="K5" s="42"/>
      <c r="L5" s="44"/>
      <c r="M5" s="51"/>
      <c r="N5" s="52"/>
      <c r="O5" s="52"/>
      <c r="P5" s="75">
        <v>45067</v>
      </c>
      <c r="Q5" s="58">
        <v>0.37</v>
      </c>
      <c r="R5" s="44"/>
      <c r="S5" s="75">
        <v>45067</v>
      </c>
      <c r="T5" s="58">
        <f>(S5-N4)/360*$U$4*$K$4</f>
        <v>0.25</v>
      </c>
      <c r="U5" s="58">
        <f>T5-Q5</f>
        <v>-0.12</v>
      </c>
      <c r="V5" s="52"/>
      <c r="W5" s="44"/>
      <c r="X5" s="44"/>
      <c r="Y5" s="44">
        <f>ROUNDDOWN((V5-N4)*K4*X4/365,2)</f>
        <v>-3210.1</v>
      </c>
      <c r="Z5" s="44"/>
      <c r="AA5" s="44"/>
      <c r="AB5" s="44"/>
    </row>
    <row r="6" spans="1:30" s="35" customFormat="1">
      <c r="A6" s="44"/>
      <c r="B6" s="44"/>
      <c r="C6" s="44"/>
      <c r="D6" s="44"/>
      <c r="E6" s="44"/>
      <c r="F6" s="44"/>
      <c r="G6" s="44"/>
      <c r="H6" s="44"/>
      <c r="I6" s="44"/>
      <c r="J6" s="42"/>
      <c r="K6" s="42"/>
      <c r="L6" s="44"/>
      <c r="M6" s="51"/>
      <c r="N6" s="52"/>
      <c r="O6" s="52"/>
      <c r="P6" s="75">
        <v>45098</v>
      </c>
      <c r="Q6" s="58">
        <v>3.81</v>
      </c>
      <c r="R6" s="44"/>
      <c r="S6" s="75">
        <v>45098</v>
      </c>
      <c r="T6" s="58">
        <f>(S6-S5)*$K$4*$U$4/360</f>
        <v>3.81</v>
      </c>
      <c r="U6" s="58">
        <f>T6-Q6</f>
        <v>0</v>
      </c>
      <c r="V6" s="44"/>
      <c r="W6" s="44"/>
      <c r="X6" s="44"/>
      <c r="Y6" s="44"/>
      <c r="Z6" s="44"/>
      <c r="AA6" s="44"/>
      <c r="AB6" s="44"/>
    </row>
    <row r="7" spans="1:30" s="35" customFormat="1">
      <c r="A7" s="44"/>
      <c r="B7" s="44"/>
      <c r="C7" s="44"/>
      <c r="D7" s="44"/>
      <c r="E7" s="44"/>
      <c r="F7" s="44"/>
      <c r="G7" s="44"/>
      <c r="H7" s="44"/>
      <c r="I7" s="44"/>
      <c r="J7" s="42"/>
      <c r="K7" s="42"/>
      <c r="L7" s="44"/>
      <c r="M7" s="51"/>
      <c r="N7" s="52"/>
      <c r="O7" s="52"/>
      <c r="P7" s="75">
        <v>45128</v>
      </c>
      <c r="Q7" s="58">
        <v>3.68</v>
      </c>
      <c r="R7" s="44"/>
      <c r="S7" s="75">
        <v>45128</v>
      </c>
      <c r="T7" s="58">
        <f>(S7-S6)*$K$4*$U$4/360</f>
        <v>3.68</v>
      </c>
      <c r="U7" s="58">
        <f>T7-Q7</f>
        <v>0</v>
      </c>
      <c r="V7" s="44"/>
      <c r="W7" s="44"/>
      <c r="X7" s="44"/>
      <c r="Y7" s="44"/>
      <c r="Z7" s="44"/>
      <c r="AA7" s="44"/>
      <c r="AB7" s="44"/>
    </row>
    <row r="8" spans="1:30" s="35" customFormat="1">
      <c r="A8" s="44"/>
      <c r="B8" s="44"/>
      <c r="C8" s="44"/>
      <c r="D8" s="44"/>
      <c r="E8" s="44"/>
      <c r="F8" s="44"/>
      <c r="G8" s="44"/>
      <c r="H8" s="44"/>
      <c r="I8" s="44"/>
      <c r="J8" s="42"/>
      <c r="K8" s="42"/>
      <c r="L8" s="44"/>
      <c r="M8" s="51"/>
      <c r="N8" s="52"/>
      <c r="O8" s="52"/>
      <c r="P8" s="75">
        <v>45159</v>
      </c>
      <c r="Q8" s="58">
        <v>3.44</v>
      </c>
      <c r="R8" s="44"/>
      <c r="S8" s="75">
        <v>45159</v>
      </c>
      <c r="T8" s="58">
        <f>(S8-S7)*$K$4*$U$4/360</f>
        <v>3.81</v>
      </c>
      <c r="U8" s="58">
        <f>T8-Q8</f>
        <v>0.37</v>
      </c>
      <c r="V8" s="44"/>
      <c r="W8" s="44"/>
      <c r="X8" s="44"/>
      <c r="Y8" s="44"/>
      <c r="Z8" s="44"/>
      <c r="AA8" s="44"/>
      <c r="AB8" s="44"/>
    </row>
    <row r="9" spans="1:30" s="35" customFormat="1" hidden="1">
      <c r="A9" s="44"/>
      <c r="B9" s="44"/>
      <c r="C9" s="44"/>
      <c r="D9" s="44"/>
      <c r="E9" s="44"/>
      <c r="F9" s="44"/>
      <c r="G9" s="44"/>
      <c r="H9" s="44"/>
      <c r="I9" s="44"/>
      <c r="J9" s="42"/>
      <c r="K9" s="42"/>
      <c r="L9" s="44"/>
      <c r="M9" s="51"/>
      <c r="N9" s="52"/>
      <c r="O9" s="52"/>
      <c r="P9" s="75"/>
      <c r="Q9" s="58"/>
      <c r="R9" s="44"/>
      <c r="S9" s="75"/>
      <c r="T9" s="58"/>
      <c r="U9" s="102"/>
      <c r="V9" s="44"/>
      <c r="W9" s="44"/>
      <c r="X9" s="44"/>
      <c r="Y9" s="44"/>
      <c r="Z9" s="44"/>
      <c r="AA9" s="44"/>
      <c r="AB9" s="44"/>
    </row>
    <row r="10" spans="1:30" s="35" customFormat="1" hidden="1">
      <c r="A10" s="44"/>
      <c r="B10" s="44"/>
      <c r="C10" s="44"/>
      <c r="D10" s="44"/>
      <c r="E10" s="44"/>
      <c r="F10" s="44"/>
      <c r="G10" s="44"/>
      <c r="H10" s="44"/>
      <c r="I10" s="44"/>
      <c r="J10" s="42"/>
      <c r="K10" s="42"/>
      <c r="L10" s="44"/>
      <c r="M10" s="51"/>
      <c r="N10" s="52"/>
      <c r="O10" s="52"/>
      <c r="P10" s="75"/>
      <c r="Q10" s="58"/>
      <c r="R10" s="44"/>
      <c r="S10" s="75"/>
      <c r="T10" s="58"/>
      <c r="U10" s="102"/>
      <c r="V10" s="44"/>
      <c r="W10" s="44"/>
      <c r="X10" s="44"/>
      <c r="Y10" s="44"/>
      <c r="Z10" s="44"/>
      <c r="AA10" s="44"/>
      <c r="AB10" s="44"/>
    </row>
    <row r="11" spans="1:30" s="35" customFormat="1" hidden="1">
      <c r="A11" s="44"/>
      <c r="B11" s="44"/>
      <c r="C11" s="44"/>
      <c r="D11" s="44"/>
      <c r="E11" s="44"/>
      <c r="F11" s="44"/>
      <c r="G11" s="44"/>
      <c r="H11" s="44"/>
      <c r="I11" s="44"/>
      <c r="J11" s="42"/>
      <c r="K11" s="42"/>
      <c r="L11" s="44"/>
      <c r="M11" s="51"/>
      <c r="N11" s="52"/>
      <c r="O11" s="52"/>
      <c r="P11" s="75"/>
      <c r="Q11" s="58"/>
      <c r="R11" s="44"/>
      <c r="S11" s="75"/>
      <c r="T11" s="58"/>
      <c r="U11" s="102"/>
      <c r="V11" s="44"/>
      <c r="W11" s="44"/>
      <c r="X11" s="44"/>
      <c r="Y11" s="44"/>
      <c r="Z11" s="44"/>
      <c r="AA11" s="44"/>
      <c r="AB11" s="44"/>
    </row>
    <row r="12" spans="1:30" s="35" customFormat="1" hidden="1">
      <c r="A12" s="44"/>
      <c r="B12" s="44"/>
      <c r="C12" s="44"/>
      <c r="D12" s="44"/>
      <c r="E12" s="44"/>
      <c r="F12" s="44"/>
      <c r="G12" s="44"/>
      <c r="H12" s="44"/>
      <c r="I12" s="44"/>
      <c r="J12" s="42"/>
      <c r="K12" s="42"/>
      <c r="L12" s="44"/>
      <c r="M12" s="51"/>
      <c r="N12" s="52"/>
      <c r="O12" s="52"/>
      <c r="P12" s="75"/>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2"/>
      <c r="K13" s="42"/>
      <c r="L13" s="44"/>
      <c r="M13" s="51"/>
      <c r="N13" s="52"/>
      <c r="O13" s="52"/>
      <c r="P13" s="75"/>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2"/>
      <c r="K14" s="42"/>
      <c r="L14" s="44"/>
      <c r="M14" s="51"/>
      <c r="N14" s="52"/>
      <c r="O14" s="52"/>
      <c r="P14" s="75"/>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2"/>
      <c r="K15" s="42"/>
      <c r="L15" s="44"/>
      <c r="M15" s="51"/>
      <c r="N15" s="52"/>
      <c r="O15" s="52"/>
      <c r="P15" s="75"/>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2"/>
      <c r="K16" s="42"/>
      <c r="L16" s="44"/>
      <c r="M16" s="51"/>
      <c r="N16" s="52"/>
      <c r="O16" s="52"/>
      <c r="P16" s="75"/>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2"/>
      <c r="K17" s="42"/>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2"/>
      <c r="K18" s="42"/>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2"/>
      <c r="K19" s="42"/>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2"/>
      <c r="K25" s="42"/>
      <c r="L25" s="44"/>
      <c r="M25" s="51"/>
      <c r="N25" s="52"/>
      <c r="O25" s="52"/>
      <c r="P25" s="75"/>
      <c r="Q25" s="58"/>
      <c r="R25" s="44"/>
      <c r="S25" s="53"/>
      <c r="T25" s="58"/>
      <c r="U25" s="58"/>
      <c r="V25" s="44"/>
      <c r="W25" s="44"/>
      <c r="X25" s="44"/>
      <c r="Y25" s="44"/>
      <c r="Z25" s="44"/>
      <c r="AA25" s="44"/>
      <c r="AB25" s="44"/>
    </row>
    <row r="26" spans="1:28" s="34" customFormat="1" ht="101.15" customHeight="1">
      <c r="A26" s="43">
        <v>2</v>
      </c>
      <c r="B26" s="43" t="s">
        <v>696</v>
      </c>
      <c r="C26" s="43" t="s">
        <v>1105</v>
      </c>
      <c r="D26" s="43" t="s">
        <v>1106</v>
      </c>
      <c r="E26" s="43" t="s">
        <v>696</v>
      </c>
      <c r="F26" s="43" t="s">
        <v>1107</v>
      </c>
      <c r="G26" s="43" t="s">
        <v>1108</v>
      </c>
      <c r="H26" s="43" t="s">
        <v>71</v>
      </c>
      <c r="I26" s="43" t="s">
        <v>1114</v>
      </c>
      <c r="J26" s="71" t="s">
        <v>58</v>
      </c>
      <c r="K26" s="71">
        <v>1000</v>
      </c>
      <c r="L26" s="43" t="s">
        <v>1115</v>
      </c>
      <c r="M26" s="49" t="s">
        <v>1116</v>
      </c>
      <c r="N26" s="50">
        <v>45065</v>
      </c>
      <c r="O26" s="50">
        <v>45291</v>
      </c>
      <c r="P26" s="43">
        <f>P34-N26</f>
        <v>247</v>
      </c>
      <c r="Q26" s="55">
        <f>SUM(Q27:Q38)</f>
        <v>25.09</v>
      </c>
      <c r="R26" s="43">
        <v>9.2899999999999991</v>
      </c>
      <c r="S26" s="43"/>
      <c r="T26" s="55">
        <f>SUM(T27:T38)</f>
        <v>27.42</v>
      </c>
      <c r="U26" s="56">
        <v>0.04</v>
      </c>
      <c r="V26" s="50"/>
      <c r="W26" s="43" t="s">
        <v>42</v>
      </c>
      <c r="X26" s="57">
        <v>1.4999999999999999E-2</v>
      </c>
      <c r="Y26" s="43">
        <f>ROUNDDOWN(IF((O26-N26+1)*K26*X26/365&gt;R26,R26,(O26-N26+1)*K26*X26/365),2)</f>
        <v>9.2899999999999991</v>
      </c>
      <c r="Z26" s="95">
        <f>R26-Y26</f>
        <v>0</v>
      </c>
      <c r="AA26" s="43"/>
      <c r="AB26" s="43" t="s">
        <v>61</v>
      </c>
    </row>
    <row r="27" spans="1:28" s="35" customFormat="1">
      <c r="A27" s="44"/>
      <c r="B27" s="44"/>
      <c r="C27" s="44"/>
      <c r="D27" s="44"/>
      <c r="E27" s="44"/>
      <c r="F27" s="44"/>
      <c r="G27" s="44"/>
      <c r="H27" s="44"/>
      <c r="I27" s="44"/>
      <c r="J27" s="42"/>
      <c r="K27" s="42"/>
      <c r="L27" s="44"/>
      <c r="M27" s="51"/>
      <c r="N27" s="52"/>
      <c r="O27" s="50">
        <v>45429</v>
      </c>
      <c r="P27" s="75">
        <v>45098</v>
      </c>
      <c r="Q27" s="58">
        <v>3.67</v>
      </c>
      <c r="R27" s="44"/>
      <c r="S27" s="75">
        <v>45098</v>
      </c>
      <c r="T27" s="58">
        <f>(S27-N26)/360*$U$26*$K$26</f>
        <v>3.67</v>
      </c>
      <c r="U27" s="58">
        <f t="shared" ref="U27:U34" si="0">T27-Q27</f>
        <v>0</v>
      </c>
      <c r="V27" s="52"/>
      <c r="W27" s="44"/>
      <c r="X27" s="44"/>
      <c r="Y27" s="62">
        <f>ROUNDUP((V27-N26)*K26*X26/365,2)</f>
        <v>-1851.99</v>
      </c>
      <c r="Z27" s="44"/>
      <c r="AA27" s="44"/>
      <c r="AB27" s="44"/>
    </row>
    <row r="28" spans="1:28" s="35" customFormat="1">
      <c r="A28" s="44"/>
      <c r="B28" s="44"/>
      <c r="C28" s="44"/>
      <c r="D28" s="44"/>
      <c r="E28" s="44"/>
      <c r="F28" s="44"/>
      <c r="G28" s="44"/>
      <c r="H28" s="44"/>
      <c r="I28" s="44"/>
      <c r="J28" s="42"/>
      <c r="K28" s="42"/>
      <c r="L28" s="44"/>
      <c r="M28" s="51"/>
      <c r="N28" s="52"/>
      <c r="O28" s="52"/>
      <c r="P28" s="75">
        <v>45128</v>
      </c>
      <c r="Q28" s="58">
        <v>3.33</v>
      </c>
      <c r="R28" s="44"/>
      <c r="S28" s="75">
        <v>45128</v>
      </c>
      <c r="T28" s="58">
        <f t="shared" ref="T28:T34" si="1">(S28-S27)*$U$26*$K$26/360</f>
        <v>3.33</v>
      </c>
      <c r="U28" s="58">
        <f t="shared" si="0"/>
        <v>0</v>
      </c>
      <c r="V28" s="44"/>
      <c r="W28" s="44"/>
      <c r="X28" s="44"/>
      <c r="Y28" s="62"/>
      <c r="Z28" s="44"/>
      <c r="AA28" s="44"/>
      <c r="AB28" s="44"/>
    </row>
    <row r="29" spans="1:28" s="35" customFormat="1">
      <c r="A29" s="44"/>
      <c r="B29" s="44"/>
      <c r="C29" s="44"/>
      <c r="D29" s="44"/>
      <c r="E29" s="44"/>
      <c r="F29" s="44"/>
      <c r="G29" s="44"/>
      <c r="H29" s="44"/>
      <c r="I29" s="44"/>
      <c r="J29" s="42"/>
      <c r="K29" s="42"/>
      <c r="L29" s="44"/>
      <c r="M29" s="51"/>
      <c r="N29" s="52"/>
      <c r="O29" s="52"/>
      <c r="P29" s="75">
        <v>45159</v>
      </c>
      <c r="Q29" s="58">
        <v>3.44</v>
      </c>
      <c r="R29" s="44"/>
      <c r="S29" s="75">
        <v>45159</v>
      </c>
      <c r="T29" s="58">
        <f t="shared" si="1"/>
        <v>3.44</v>
      </c>
      <c r="U29" s="58">
        <f t="shared" si="0"/>
        <v>0</v>
      </c>
      <c r="V29" s="44"/>
      <c r="W29" s="44"/>
      <c r="X29" s="44"/>
      <c r="Y29" s="44"/>
      <c r="Z29" s="44"/>
      <c r="AA29" s="44"/>
      <c r="AB29" s="44"/>
    </row>
    <row r="30" spans="1:28" s="35" customFormat="1">
      <c r="A30" s="44"/>
      <c r="B30" s="44"/>
      <c r="C30" s="44"/>
      <c r="D30" s="44"/>
      <c r="E30" s="44"/>
      <c r="F30" s="44"/>
      <c r="G30" s="44"/>
      <c r="H30" s="44"/>
      <c r="I30" s="44"/>
      <c r="J30" s="42"/>
      <c r="K30" s="42"/>
      <c r="L30" s="44"/>
      <c r="M30" s="51"/>
      <c r="N30" s="52"/>
      <c r="O30" s="52"/>
      <c r="P30" s="75">
        <v>45190</v>
      </c>
      <c r="Q30" s="58">
        <v>3.44</v>
      </c>
      <c r="R30" s="44"/>
      <c r="S30" s="75">
        <v>45190</v>
      </c>
      <c r="T30" s="58">
        <f t="shared" si="1"/>
        <v>3.44</v>
      </c>
      <c r="U30" s="58">
        <f t="shared" si="0"/>
        <v>0</v>
      </c>
      <c r="V30" s="44"/>
      <c r="W30" s="44"/>
      <c r="X30" s="44"/>
      <c r="Y30" s="44"/>
      <c r="Z30" s="44"/>
      <c r="AA30" s="44"/>
      <c r="AB30" s="44"/>
    </row>
    <row r="31" spans="1:28" s="35" customFormat="1">
      <c r="A31" s="44"/>
      <c r="B31" s="44"/>
      <c r="C31" s="44"/>
      <c r="D31" s="44"/>
      <c r="E31" s="44"/>
      <c r="F31" s="44"/>
      <c r="G31" s="44"/>
      <c r="H31" s="44"/>
      <c r="I31" s="44"/>
      <c r="J31" s="42"/>
      <c r="K31" s="42"/>
      <c r="L31" s="44"/>
      <c r="M31" s="51"/>
      <c r="N31" s="52"/>
      <c r="O31" s="52"/>
      <c r="P31" s="75">
        <v>45220</v>
      </c>
      <c r="Q31" s="58">
        <v>3.33</v>
      </c>
      <c r="R31" s="44"/>
      <c r="S31" s="75">
        <v>45220</v>
      </c>
      <c r="T31" s="58">
        <f t="shared" si="1"/>
        <v>3.33</v>
      </c>
      <c r="U31" s="58">
        <f t="shared" si="0"/>
        <v>0</v>
      </c>
      <c r="V31" s="44"/>
      <c r="W31" s="44"/>
      <c r="X31" s="44"/>
      <c r="Y31" s="44"/>
      <c r="Z31" s="44"/>
      <c r="AA31" s="44"/>
      <c r="AB31" s="44"/>
    </row>
    <row r="32" spans="1:28" s="35" customFormat="1">
      <c r="A32" s="44"/>
      <c r="B32" s="44"/>
      <c r="C32" s="44"/>
      <c r="D32" s="44"/>
      <c r="E32" s="44"/>
      <c r="F32" s="44"/>
      <c r="G32" s="44"/>
      <c r="H32" s="44"/>
      <c r="I32" s="44"/>
      <c r="J32" s="42"/>
      <c r="K32" s="42"/>
      <c r="L32" s="44"/>
      <c r="M32" s="51"/>
      <c r="N32" s="52"/>
      <c r="O32" s="52"/>
      <c r="P32" s="75">
        <v>45251</v>
      </c>
      <c r="Q32" s="58">
        <v>3.44</v>
      </c>
      <c r="R32" s="44"/>
      <c r="S32" s="75">
        <v>45251</v>
      </c>
      <c r="T32" s="58">
        <f t="shared" si="1"/>
        <v>3.44</v>
      </c>
      <c r="U32" s="58">
        <f t="shared" si="0"/>
        <v>0</v>
      </c>
      <c r="V32" s="44"/>
      <c r="W32" s="44"/>
      <c r="X32" s="44"/>
      <c r="Y32" s="44"/>
      <c r="Z32" s="44"/>
      <c r="AA32" s="44"/>
      <c r="AB32" s="44"/>
    </row>
    <row r="33" spans="1:28" s="35" customFormat="1">
      <c r="A33" s="44"/>
      <c r="B33" s="44"/>
      <c r="C33" s="44"/>
      <c r="D33" s="44"/>
      <c r="E33" s="44"/>
      <c r="F33" s="44"/>
      <c r="G33" s="44"/>
      <c r="H33" s="44"/>
      <c r="I33" s="44"/>
      <c r="J33" s="42"/>
      <c r="K33" s="42"/>
      <c r="L33" s="44"/>
      <c r="M33" s="51"/>
      <c r="N33" s="52"/>
      <c r="O33" s="52"/>
      <c r="P33" s="75">
        <v>45281</v>
      </c>
      <c r="Q33" s="58">
        <v>3.33</v>
      </c>
      <c r="R33" s="44"/>
      <c r="S33" s="75">
        <v>45281</v>
      </c>
      <c r="T33" s="58">
        <f t="shared" si="1"/>
        <v>3.33</v>
      </c>
      <c r="U33" s="58">
        <f t="shared" si="0"/>
        <v>0</v>
      </c>
      <c r="V33" s="44"/>
      <c r="W33" s="44"/>
      <c r="X33" s="44"/>
      <c r="Y33" s="44"/>
      <c r="Z33" s="44"/>
      <c r="AA33" s="44"/>
      <c r="AB33" s="44"/>
    </row>
    <row r="34" spans="1:28" s="35" customFormat="1">
      <c r="A34" s="44"/>
      <c r="B34" s="44"/>
      <c r="C34" s="44"/>
      <c r="D34" s="44"/>
      <c r="E34" s="44"/>
      <c r="F34" s="44"/>
      <c r="G34" s="44"/>
      <c r="H34" s="44"/>
      <c r="I34" s="44"/>
      <c r="J34" s="42"/>
      <c r="K34" s="42"/>
      <c r="L34" s="44"/>
      <c r="M34" s="51"/>
      <c r="N34" s="52"/>
      <c r="O34" s="52"/>
      <c r="P34" s="75">
        <v>45312</v>
      </c>
      <c r="Q34" s="58">
        <v>1.1100000000000001</v>
      </c>
      <c r="R34" s="44"/>
      <c r="S34" s="75">
        <v>45312</v>
      </c>
      <c r="T34" s="58">
        <f t="shared" si="1"/>
        <v>3.44</v>
      </c>
      <c r="U34" s="58">
        <f t="shared" si="0"/>
        <v>2.33</v>
      </c>
      <c r="V34" s="44"/>
      <c r="W34" s="44"/>
      <c r="X34" s="44"/>
      <c r="Y34" s="44"/>
      <c r="Z34" s="44"/>
      <c r="AA34" s="44"/>
      <c r="AB34" s="44"/>
    </row>
    <row r="35" spans="1:28" s="35" customFormat="1" hidden="1">
      <c r="A35" s="44"/>
      <c r="B35" s="44"/>
      <c r="C35" s="44"/>
      <c r="D35" s="44"/>
      <c r="E35" s="44"/>
      <c r="F35" s="44"/>
      <c r="G35" s="44"/>
      <c r="H35" s="44"/>
      <c r="I35" s="44"/>
      <c r="J35" s="42"/>
      <c r="K35" s="42"/>
      <c r="L35" s="44"/>
      <c r="M35" s="51"/>
      <c r="N35" s="52"/>
      <c r="O35" s="52"/>
      <c r="P35" s="75"/>
      <c r="Q35" s="58"/>
      <c r="R35" s="44"/>
      <c r="S35" s="75"/>
      <c r="T35" s="58"/>
      <c r="U35" s="58"/>
      <c r="V35" s="44"/>
      <c r="W35" s="44"/>
      <c r="X35" s="44"/>
      <c r="Y35" s="44"/>
      <c r="Z35" s="44"/>
      <c r="AA35" s="44"/>
      <c r="AB35" s="44"/>
    </row>
    <row r="36" spans="1:28" s="35" customFormat="1" hidden="1">
      <c r="A36" s="44"/>
      <c r="B36" s="44"/>
      <c r="C36" s="44"/>
      <c r="D36" s="44"/>
      <c r="E36" s="44"/>
      <c r="F36" s="44"/>
      <c r="G36" s="44"/>
      <c r="H36" s="44"/>
      <c r="I36" s="44"/>
      <c r="J36" s="42"/>
      <c r="K36" s="42"/>
      <c r="L36" s="44"/>
      <c r="M36" s="51"/>
      <c r="N36" s="52"/>
      <c r="O36" s="52"/>
      <c r="P36" s="75"/>
      <c r="Q36" s="58"/>
      <c r="R36" s="44"/>
      <c r="S36" s="75"/>
      <c r="T36" s="58">
        <f>(S36-S35)*$U$26*$K$26/360</f>
        <v>0</v>
      </c>
      <c r="U36" s="58">
        <f>T36-Q36</f>
        <v>0</v>
      </c>
      <c r="V36" s="44"/>
      <c r="W36" s="44"/>
      <c r="X36" s="44"/>
      <c r="Y36" s="44"/>
      <c r="Z36" s="44"/>
      <c r="AA36" s="44"/>
      <c r="AB36" s="44"/>
    </row>
    <row r="37" spans="1:28" s="35" customFormat="1" hidden="1">
      <c r="A37" s="44"/>
      <c r="B37" s="44"/>
      <c r="C37" s="44"/>
      <c r="D37" s="44"/>
      <c r="E37" s="44"/>
      <c r="F37" s="44"/>
      <c r="G37" s="44"/>
      <c r="H37" s="44"/>
      <c r="I37" s="44"/>
      <c r="J37" s="42"/>
      <c r="K37" s="42"/>
      <c r="L37" s="44"/>
      <c r="M37" s="51"/>
      <c r="N37" s="52"/>
      <c r="O37" s="52"/>
      <c r="P37" s="75"/>
      <c r="Q37" s="58"/>
      <c r="R37" s="44"/>
      <c r="S37" s="75"/>
      <c r="T37" s="58">
        <f>(S37-S36)*$U$26*$K$26/360</f>
        <v>0</v>
      </c>
      <c r="U37" s="58">
        <f>T37-Q37</f>
        <v>0</v>
      </c>
      <c r="V37" s="44"/>
      <c r="W37" s="44"/>
      <c r="X37" s="44"/>
      <c r="Y37" s="44"/>
      <c r="Z37" s="44"/>
      <c r="AA37" s="44"/>
      <c r="AB37" s="44"/>
    </row>
    <row r="38" spans="1:28" s="35" customFormat="1" hidden="1">
      <c r="A38" s="44"/>
      <c r="B38" s="44"/>
      <c r="C38" s="44"/>
      <c r="D38" s="44"/>
      <c r="E38" s="44"/>
      <c r="F38" s="44"/>
      <c r="G38" s="44"/>
      <c r="H38" s="44"/>
      <c r="I38" s="44"/>
      <c r="J38" s="42"/>
      <c r="K38" s="42"/>
      <c r="L38" s="44"/>
      <c r="M38" s="51"/>
      <c r="N38" s="52"/>
      <c r="O38" s="52"/>
      <c r="P38" s="75"/>
      <c r="Q38" s="58"/>
      <c r="R38" s="44"/>
      <c r="S38" s="75"/>
      <c r="T38" s="58">
        <f>(S38-S37)*$U$26*$K$26/360</f>
        <v>0</v>
      </c>
      <c r="U38" s="58">
        <f>T38-Q38</f>
        <v>0</v>
      </c>
      <c r="V38" s="44"/>
      <c r="W38" s="44"/>
      <c r="X38" s="44"/>
      <c r="Y38" s="44"/>
      <c r="Z38" s="44"/>
      <c r="AA38" s="44"/>
      <c r="AB38" s="44"/>
    </row>
    <row r="39" spans="1:28" s="35" customFormat="1" hidden="1">
      <c r="A39" s="44"/>
      <c r="B39" s="44"/>
      <c r="C39" s="44"/>
      <c r="D39" s="44"/>
      <c r="E39" s="44"/>
      <c r="F39" s="44"/>
      <c r="G39" s="44"/>
      <c r="H39" s="44"/>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2"/>
      <c r="K46" s="42"/>
      <c r="L46" s="44"/>
      <c r="M46" s="51"/>
      <c r="N46" s="52"/>
      <c r="O46" s="52"/>
      <c r="P46" s="75"/>
      <c r="Q46" s="58"/>
      <c r="R46" s="44"/>
      <c r="S46" s="53"/>
      <c r="T46" s="58"/>
      <c r="U46" s="58"/>
      <c r="V46" s="44"/>
      <c r="W46" s="44"/>
      <c r="X46" s="44"/>
      <c r="Y46" s="44"/>
      <c r="Z46" s="44"/>
      <c r="AA46" s="44"/>
      <c r="AB46" s="44"/>
    </row>
    <row r="47" spans="1:28" s="35" customFormat="1" ht="22" hidden="1" customHeight="1">
      <c r="A47" s="44"/>
      <c r="B47" s="44"/>
      <c r="C47" s="44"/>
      <c r="D47" s="44"/>
      <c r="E47" s="44"/>
      <c r="F47" s="44"/>
      <c r="G47" s="44"/>
      <c r="H47" s="44"/>
      <c r="I47" s="44"/>
      <c r="J47" s="42"/>
      <c r="K47" s="42"/>
      <c r="L47" s="44"/>
      <c r="M47" s="51"/>
      <c r="N47" s="52"/>
      <c r="O47" s="52"/>
      <c r="P47" s="75"/>
      <c r="Q47" s="58"/>
      <c r="R47" s="44"/>
      <c r="S47" s="53"/>
      <c r="T47" s="58"/>
      <c r="U47" s="58"/>
      <c r="V47" s="44"/>
      <c r="W47" s="44"/>
      <c r="X47" s="44"/>
      <c r="Y47" s="44"/>
      <c r="Z47" s="44"/>
      <c r="AA47" s="44"/>
      <c r="AB47" s="44"/>
    </row>
    <row r="48" spans="1:28" s="34" customFormat="1" ht="98">
      <c r="A48" s="43">
        <v>3</v>
      </c>
      <c r="B48" s="43" t="s">
        <v>696</v>
      </c>
      <c r="C48" s="43" t="s">
        <v>1105</v>
      </c>
      <c r="D48" s="43" t="s">
        <v>1106</v>
      </c>
      <c r="E48" s="43" t="s">
        <v>696</v>
      </c>
      <c r="F48" s="43" t="s">
        <v>1107</v>
      </c>
      <c r="G48" s="43" t="s">
        <v>1108</v>
      </c>
      <c r="H48" s="43" t="s">
        <v>71</v>
      </c>
      <c r="I48" s="43" t="s">
        <v>1117</v>
      </c>
      <c r="J48" s="71" t="s">
        <v>58</v>
      </c>
      <c r="K48" s="71">
        <v>1000</v>
      </c>
      <c r="L48" s="43" t="s">
        <v>1118</v>
      </c>
      <c r="M48" s="49" t="s">
        <v>1119</v>
      </c>
      <c r="N48" s="50">
        <v>45065</v>
      </c>
      <c r="O48" s="50">
        <v>45291</v>
      </c>
      <c r="P48" s="43">
        <f>P56-N48</f>
        <v>215</v>
      </c>
      <c r="Q48" s="55">
        <f>SUM(Q49:Q69)</f>
        <v>22.9</v>
      </c>
      <c r="R48" s="43">
        <v>9.2899999999999991</v>
      </c>
      <c r="S48" s="43"/>
      <c r="T48" s="55">
        <f>SUM(T49:T59)</f>
        <v>23.85</v>
      </c>
      <c r="U48" s="56">
        <v>3.6499999999999998E-2</v>
      </c>
      <c r="V48" s="50"/>
      <c r="W48" s="43" t="s">
        <v>42</v>
      </c>
      <c r="X48" s="57">
        <v>1.4999999999999999E-2</v>
      </c>
      <c r="Y48" s="43">
        <f>ROUNDDOWN(IF((O48-N48+1)*K48*X48/365&gt;R48,R48,(O48-N48+1)*K48*X48/365),2)</f>
        <v>9.2899999999999991</v>
      </c>
      <c r="Z48" s="95">
        <f>R48-Y48</f>
        <v>0</v>
      </c>
      <c r="AA48" s="43"/>
      <c r="AB48" s="43" t="s">
        <v>61</v>
      </c>
    </row>
    <row r="49" spans="1:28" s="35" customFormat="1">
      <c r="A49" s="44"/>
      <c r="B49" s="44"/>
      <c r="C49" s="44"/>
      <c r="D49" s="44"/>
      <c r="E49" s="44"/>
      <c r="F49" s="44"/>
      <c r="G49" s="44"/>
      <c r="H49" s="44"/>
      <c r="I49" s="44"/>
      <c r="J49" s="42"/>
      <c r="K49" s="42"/>
      <c r="L49" s="44"/>
      <c r="M49" s="51"/>
      <c r="N49" s="52"/>
      <c r="O49" s="52"/>
      <c r="P49" s="75">
        <v>45066</v>
      </c>
      <c r="Q49" s="58">
        <v>0.1</v>
      </c>
      <c r="R49" s="44"/>
      <c r="S49" s="75">
        <v>45066</v>
      </c>
      <c r="T49" s="58">
        <f>(S49-N48)/360*$U$48*$K$48</f>
        <v>0.1</v>
      </c>
      <c r="U49" s="58">
        <f t="shared" ref="U49:U56" si="2">T49-Q49</f>
        <v>0</v>
      </c>
      <c r="V49" s="52"/>
      <c r="W49" s="44"/>
      <c r="X49" s="44"/>
      <c r="Y49" s="62">
        <f>ROUNDUP((V49-N48)*K48*X48/365,2)</f>
        <v>-1851.99</v>
      </c>
      <c r="Z49" s="44"/>
      <c r="AA49" s="44"/>
      <c r="AB49" s="44"/>
    </row>
    <row r="50" spans="1:28" s="35" customFormat="1">
      <c r="A50" s="44"/>
      <c r="B50" s="44"/>
      <c r="C50" s="44"/>
      <c r="D50" s="44"/>
      <c r="E50" s="44"/>
      <c r="F50" s="44"/>
      <c r="G50" s="44"/>
      <c r="H50" s="44"/>
      <c r="I50" s="44"/>
      <c r="J50" s="42"/>
      <c r="K50" s="42"/>
      <c r="L50" s="44"/>
      <c r="M50" s="51"/>
      <c r="N50" s="52"/>
      <c r="O50" s="52"/>
      <c r="P50" s="75">
        <v>45097</v>
      </c>
      <c r="Q50" s="58">
        <v>3.14</v>
      </c>
      <c r="R50" s="44"/>
      <c r="S50" s="75">
        <v>45097</v>
      </c>
      <c r="T50" s="58">
        <f t="shared" ref="T50:T56" si="3">(S50-S49)*$U$26*$K$26/360</f>
        <v>3.44</v>
      </c>
      <c r="U50" s="58">
        <f t="shared" si="2"/>
        <v>0.3</v>
      </c>
      <c r="V50" s="44"/>
      <c r="W50" s="44"/>
      <c r="X50" s="44"/>
      <c r="Y50" s="44"/>
      <c r="Z50" s="44"/>
      <c r="AA50" s="44"/>
      <c r="AB50" s="44"/>
    </row>
    <row r="51" spans="1:28" s="35" customFormat="1">
      <c r="A51" s="44"/>
      <c r="B51" s="44"/>
      <c r="C51" s="44"/>
      <c r="D51" s="44"/>
      <c r="E51" s="44"/>
      <c r="F51" s="44"/>
      <c r="G51" s="44"/>
      <c r="H51" s="44"/>
      <c r="I51" s="44"/>
      <c r="J51" s="42"/>
      <c r="K51" s="42"/>
      <c r="L51" s="44"/>
      <c r="M51" s="51"/>
      <c r="N51" s="52"/>
      <c r="O51" s="52"/>
      <c r="P51" s="75">
        <v>45127</v>
      </c>
      <c r="Q51" s="58">
        <v>3.04</v>
      </c>
      <c r="R51" s="44"/>
      <c r="S51" s="75">
        <v>45127</v>
      </c>
      <c r="T51" s="58">
        <f t="shared" si="3"/>
        <v>3.33</v>
      </c>
      <c r="U51" s="58">
        <f t="shared" si="2"/>
        <v>0.28999999999999998</v>
      </c>
      <c r="V51" s="44"/>
      <c r="W51" s="44"/>
      <c r="X51" s="44"/>
      <c r="Y51" s="44"/>
      <c r="Z51" s="44"/>
      <c r="AA51" s="44"/>
      <c r="AB51" s="44"/>
    </row>
    <row r="52" spans="1:28" s="35" customFormat="1">
      <c r="A52" s="44"/>
      <c r="B52" s="44"/>
      <c r="C52" s="44"/>
      <c r="D52" s="44"/>
      <c r="E52" s="44"/>
      <c r="F52" s="44"/>
      <c r="G52" s="44"/>
      <c r="H52" s="44"/>
      <c r="I52" s="44"/>
      <c r="J52" s="42"/>
      <c r="K52" s="42"/>
      <c r="L52" s="44"/>
      <c r="M52" s="51"/>
      <c r="N52" s="52"/>
      <c r="O52" s="52"/>
      <c r="P52" s="75">
        <v>45158</v>
      </c>
      <c r="Q52" s="58">
        <v>3.14</v>
      </c>
      <c r="R52" s="44"/>
      <c r="S52" s="75">
        <v>45158</v>
      </c>
      <c r="T52" s="58">
        <f t="shared" si="3"/>
        <v>3.44</v>
      </c>
      <c r="U52" s="58">
        <f t="shared" si="2"/>
        <v>0.3</v>
      </c>
      <c r="V52" s="44"/>
      <c r="W52" s="44"/>
      <c r="X52" s="44"/>
      <c r="Y52" s="44"/>
      <c r="Z52" s="44"/>
      <c r="AA52" s="44"/>
      <c r="AB52" s="44"/>
    </row>
    <row r="53" spans="1:28" s="35" customFormat="1">
      <c r="A53" s="44"/>
      <c r="B53" s="44"/>
      <c r="C53" s="44"/>
      <c r="D53" s="44"/>
      <c r="E53" s="44"/>
      <c r="F53" s="44"/>
      <c r="G53" s="44"/>
      <c r="H53" s="44"/>
      <c r="I53" s="44"/>
      <c r="J53" s="42"/>
      <c r="K53" s="42"/>
      <c r="L53" s="44"/>
      <c r="M53" s="51"/>
      <c r="N53" s="52"/>
      <c r="O53" s="52"/>
      <c r="P53" s="75">
        <v>45189</v>
      </c>
      <c r="Q53" s="58">
        <v>3.14</v>
      </c>
      <c r="R53" s="44"/>
      <c r="S53" s="75">
        <v>45189</v>
      </c>
      <c r="T53" s="58">
        <f t="shared" si="3"/>
        <v>3.44</v>
      </c>
      <c r="U53" s="58">
        <f t="shared" si="2"/>
        <v>0.3</v>
      </c>
      <c r="V53" s="44"/>
      <c r="W53" s="44"/>
      <c r="X53" s="44"/>
      <c r="Y53" s="44"/>
      <c r="Z53" s="44"/>
      <c r="AA53" s="44"/>
      <c r="AB53" s="44"/>
    </row>
    <row r="54" spans="1:28" s="35" customFormat="1">
      <c r="A54" s="44"/>
      <c r="B54" s="44"/>
      <c r="C54" s="44"/>
      <c r="D54" s="44"/>
      <c r="E54" s="44"/>
      <c r="F54" s="44"/>
      <c r="G54" s="44"/>
      <c r="H54" s="44"/>
      <c r="I54" s="44"/>
      <c r="J54" s="42"/>
      <c r="K54" s="42"/>
      <c r="L54" s="44"/>
      <c r="M54" s="51"/>
      <c r="N54" s="52"/>
      <c r="O54" s="52"/>
      <c r="P54" s="75">
        <v>45219</v>
      </c>
      <c r="Q54" s="58">
        <v>3.04</v>
      </c>
      <c r="R54" s="44"/>
      <c r="S54" s="75">
        <v>45219</v>
      </c>
      <c r="T54" s="58">
        <f t="shared" si="3"/>
        <v>3.33</v>
      </c>
      <c r="U54" s="58">
        <f t="shared" si="2"/>
        <v>0.28999999999999998</v>
      </c>
      <c r="V54" s="44"/>
      <c r="W54" s="44"/>
      <c r="X54" s="44"/>
      <c r="Y54" s="44"/>
      <c r="Z54" s="44"/>
      <c r="AA54" s="44"/>
      <c r="AB54" s="44"/>
    </row>
    <row r="55" spans="1:28" s="35" customFormat="1">
      <c r="A55" s="44"/>
      <c r="B55" s="44"/>
      <c r="C55" s="44"/>
      <c r="D55" s="44"/>
      <c r="E55" s="44"/>
      <c r="F55" s="44"/>
      <c r="G55" s="44"/>
      <c r="H55" s="44"/>
      <c r="I55" s="44"/>
      <c r="J55" s="42"/>
      <c r="K55" s="42"/>
      <c r="L55" s="44"/>
      <c r="M55" s="51"/>
      <c r="N55" s="52"/>
      <c r="O55" s="52"/>
      <c r="P55" s="75">
        <v>45250</v>
      </c>
      <c r="Q55" s="58">
        <v>3.14</v>
      </c>
      <c r="R55" s="44"/>
      <c r="S55" s="75">
        <v>45250</v>
      </c>
      <c r="T55" s="58">
        <f t="shared" si="3"/>
        <v>3.44</v>
      </c>
      <c r="U55" s="58">
        <f t="shared" si="2"/>
        <v>0.3</v>
      </c>
      <c r="V55" s="44"/>
      <c r="W55" s="44"/>
      <c r="X55" s="44"/>
      <c r="Y55" s="44"/>
      <c r="Z55" s="44"/>
      <c r="AA55" s="44"/>
      <c r="AB55" s="44"/>
    </row>
    <row r="56" spans="1:28" s="35" customFormat="1">
      <c r="A56" s="44"/>
      <c r="B56" s="44"/>
      <c r="C56" s="44"/>
      <c r="D56" s="44"/>
      <c r="E56" s="44"/>
      <c r="F56" s="44"/>
      <c r="G56" s="44"/>
      <c r="H56" s="44"/>
      <c r="I56" s="44"/>
      <c r="J56" s="42"/>
      <c r="K56" s="42"/>
      <c r="L56" s="44"/>
      <c r="M56" s="51"/>
      <c r="N56" s="52"/>
      <c r="O56" s="52"/>
      <c r="P56" s="75">
        <v>45280</v>
      </c>
      <c r="Q56" s="58">
        <f>3.04+1.12</f>
        <v>4.16</v>
      </c>
      <c r="R56" s="44"/>
      <c r="S56" s="75">
        <v>45280</v>
      </c>
      <c r="T56" s="58">
        <f t="shared" si="3"/>
        <v>3.33</v>
      </c>
      <c r="U56" s="58">
        <f t="shared" si="2"/>
        <v>-0.83</v>
      </c>
      <c r="V56" s="44"/>
      <c r="W56" s="44"/>
      <c r="X56" s="44"/>
      <c r="Y56" s="44"/>
      <c r="Z56" s="44"/>
      <c r="AA56" s="44"/>
      <c r="AB56" s="44"/>
    </row>
    <row r="57" spans="1:28" s="35" customFormat="1" hidden="1">
      <c r="A57" s="44"/>
      <c r="B57" s="44"/>
      <c r="C57" s="44"/>
      <c r="D57" s="44"/>
      <c r="E57" s="44"/>
      <c r="F57" s="44"/>
      <c r="G57" s="44"/>
      <c r="H57" s="44"/>
      <c r="I57" s="44"/>
      <c r="J57" s="42"/>
      <c r="K57" s="42"/>
      <c r="L57" s="44"/>
      <c r="M57" s="51"/>
      <c r="N57" s="52"/>
      <c r="O57" s="52"/>
      <c r="P57" s="75"/>
      <c r="Q57" s="58"/>
      <c r="R57" s="44"/>
      <c r="S57" s="75"/>
      <c r="T57" s="58"/>
      <c r="U57" s="58"/>
      <c r="V57" s="44"/>
      <c r="W57" s="44"/>
      <c r="X57" s="44"/>
      <c r="Y57" s="44"/>
      <c r="Z57" s="44"/>
      <c r="AA57" s="44"/>
      <c r="AB57" s="44"/>
    </row>
    <row r="58" spans="1:28" s="35" customFormat="1" hidden="1">
      <c r="A58" s="44"/>
      <c r="B58" s="44"/>
      <c r="C58" s="44"/>
      <c r="D58" s="44"/>
      <c r="E58" s="44"/>
      <c r="F58" s="44"/>
      <c r="G58" s="44"/>
      <c r="H58" s="44"/>
      <c r="I58" s="44"/>
      <c r="J58" s="42"/>
      <c r="K58" s="42"/>
      <c r="L58" s="44"/>
      <c r="M58" s="51"/>
      <c r="N58" s="52"/>
      <c r="O58" s="52"/>
      <c r="P58" s="75"/>
      <c r="Q58" s="58"/>
      <c r="R58" s="44"/>
      <c r="S58" s="75"/>
      <c r="T58" s="58">
        <f>(S58-S57)*$U$26*$K$26/360</f>
        <v>0</v>
      </c>
      <c r="U58" s="58">
        <f>T58-Q58</f>
        <v>0</v>
      </c>
      <c r="V58" s="44"/>
      <c r="W58" s="44"/>
      <c r="X58" s="44"/>
      <c r="Y58" s="44"/>
      <c r="Z58" s="44"/>
      <c r="AA58" s="44"/>
      <c r="AB58" s="44"/>
    </row>
    <row r="59" spans="1:28" s="35" customFormat="1" hidden="1">
      <c r="A59" s="44"/>
      <c r="B59" s="44"/>
      <c r="C59" s="44"/>
      <c r="D59" s="44"/>
      <c r="E59" s="44"/>
      <c r="F59" s="44"/>
      <c r="G59" s="44"/>
      <c r="H59" s="44"/>
      <c r="I59" s="44"/>
      <c r="J59" s="42"/>
      <c r="K59" s="42"/>
      <c r="L59" s="44"/>
      <c r="M59" s="51"/>
      <c r="N59" s="52"/>
      <c r="O59" s="52"/>
      <c r="P59" s="75"/>
      <c r="Q59" s="58"/>
      <c r="R59" s="44"/>
      <c r="S59" s="75"/>
      <c r="T59" s="58">
        <f>(S59-S58)*$U$26*$K$26/360</f>
        <v>0</v>
      </c>
      <c r="U59" s="58">
        <f>T59-Q59</f>
        <v>0</v>
      </c>
      <c r="V59" s="44"/>
      <c r="W59" s="44"/>
      <c r="X59" s="44"/>
      <c r="Y59" s="44"/>
      <c r="Z59" s="44"/>
      <c r="AA59" s="44"/>
      <c r="AB59" s="44"/>
    </row>
    <row r="60" spans="1:28" s="35" customFormat="1" hidden="1">
      <c r="A60" s="44"/>
      <c r="B60" s="44"/>
      <c r="C60" s="44"/>
      <c r="D60" s="44"/>
      <c r="E60" s="44"/>
      <c r="F60" s="44"/>
      <c r="G60" s="44"/>
      <c r="H60" s="44"/>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c r="B70" s="43"/>
      <c r="C70" s="43"/>
      <c r="D70" s="43"/>
      <c r="E70" s="43"/>
      <c r="F70" s="43"/>
      <c r="G70" s="43"/>
      <c r="H70" s="43"/>
      <c r="I70" s="43"/>
      <c r="J70" s="71"/>
      <c r="K70" s="71"/>
      <c r="L70" s="43"/>
      <c r="M70" s="49"/>
      <c r="N70" s="50"/>
      <c r="O70" s="50"/>
      <c r="P70" s="76"/>
      <c r="Q70" s="55">
        <f>SUM(Q71:Q91)</f>
        <v>0</v>
      </c>
      <c r="R70" s="43"/>
      <c r="S70" s="43"/>
      <c r="T70" s="43"/>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c r="B92" s="43"/>
      <c r="C92" s="43"/>
      <c r="D92" s="43"/>
      <c r="E92" s="43"/>
      <c r="F92" s="43"/>
      <c r="G92" s="43"/>
      <c r="H92" s="43"/>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4"/>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71"/>
      <c r="K114" s="71">
        <f>K92+K70+K48+K26++K4</f>
        <v>3300</v>
      </c>
      <c r="L114" s="43"/>
      <c r="M114" s="49"/>
      <c r="N114" s="50"/>
      <c r="O114" s="50"/>
      <c r="P114" s="76"/>
      <c r="Q114" s="43"/>
      <c r="R114" s="43">
        <f>R92+R70+R48+R26++R4</f>
        <v>25.06</v>
      </c>
      <c r="S114" s="43"/>
      <c r="T114" s="43"/>
      <c r="U114" s="43"/>
      <c r="V114" s="43"/>
      <c r="W114" s="43"/>
      <c r="X114" s="43"/>
      <c r="Y114" s="43">
        <f>Y92+Y70+Y48+Y26++Y4</f>
        <v>25.06</v>
      </c>
      <c r="Z114" s="43"/>
      <c r="AA114" s="43"/>
      <c r="AB114" s="43"/>
    </row>
    <row r="115" spans="1:28">
      <c r="I115" s="36" t="s">
        <v>49</v>
      </c>
      <c r="K115" s="72" t="str">
        <f>IF(K114&gt;3000,K116,K114)</f>
        <v>错</v>
      </c>
    </row>
    <row r="116" spans="1:28">
      <c r="K116" s="72" t="s">
        <v>50</v>
      </c>
    </row>
  </sheetData>
  <autoFilter ref="A3:AD8" xr:uid="{00000000-0009-0000-0000-000072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AD116"/>
  <sheetViews>
    <sheetView zoomScale="70" zoomScaleNormal="70" workbookViewId="0">
      <pane ySplit="3" topLeftCell="A4" activePane="bottomLeft" state="frozen"/>
      <selection pane="bottomLeft" activeCell="M7" sqref="M7"/>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成都万江智控科技有限公司审计明细表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84">
      <c r="A4" s="43">
        <v>1</v>
      </c>
      <c r="B4" s="43" t="s">
        <v>669</v>
      </c>
      <c r="C4" s="43" t="s">
        <v>1120</v>
      </c>
      <c r="D4" s="43" t="s">
        <v>1121</v>
      </c>
      <c r="E4" s="43" t="s">
        <v>669</v>
      </c>
      <c r="F4" s="43" t="s">
        <v>1122</v>
      </c>
      <c r="G4" s="43" t="s">
        <v>1123</v>
      </c>
      <c r="H4" s="43" t="s">
        <v>37</v>
      </c>
      <c r="I4" s="43" t="s">
        <v>148</v>
      </c>
      <c r="J4" s="43" t="s">
        <v>58</v>
      </c>
      <c r="K4" s="43">
        <v>300</v>
      </c>
      <c r="L4" s="43" t="s">
        <v>1124</v>
      </c>
      <c r="M4" s="49" t="s">
        <v>1125</v>
      </c>
      <c r="N4" s="68">
        <v>44913</v>
      </c>
      <c r="O4" s="68">
        <v>45277</v>
      </c>
      <c r="P4" s="43">
        <f>P16-N4</f>
        <v>378</v>
      </c>
      <c r="Q4" s="55">
        <f>SUM(Q5:Q25)</f>
        <v>13.92</v>
      </c>
      <c r="R4" s="55">
        <v>3</v>
      </c>
      <c r="S4" s="43"/>
      <c r="T4" s="55">
        <f>SUM(T5:T25)</f>
        <v>13.26</v>
      </c>
      <c r="U4" s="56">
        <v>4.2000000000000003E-2</v>
      </c>
      <c r="V4" s="50"/>
      <c r="W4" s="43" t="s">
        <v>42</v>
      </c>
      <c r="X4" s="57">
        <v>0.01</v>
      </c>
      <c r="Y4" s="43">
        <v>0</v>
      </c>
      <c r="Z4" s="55">
        <f>R4-Y4</f>
        <v>3</v>
      </c>
      <c r="AA4" s="55" t="s">
        <v>151</v>
      </c>
      <c r="AB4" s="43" t="s">
        <v>61</v>
      </c>
      <c r="AD4" s="61">
        <f>(O4-N4+1)*K4*X4/365</f>
        <v>3</v>
      </c>
    </row>
    <row r="5" spans="1:30" s="35" customFormat="1">
      <c r="A5" s="44"/>
      <c r="B5" s="44"/>
      <c r="C5" s="44"/>
      <c r="D5" s="44"/>
      <c r="E5" s="44"/>
      <c r="F5" s="44"/>
      <c r="G5" s="44"/>
      <c r="H5" s="44"/>
      <c r="I5" s="44"/>
      <c r="J5" s="44"/>
      <c r="K5" s="44"/>
      <c r="L5" s="44"/>
      <c r="M5" s="51"/>
      <c r="N5" s="52"/>
      <c r="P5" s="75">
        <v>44947</v>
      </c>
      <c r="Q5" s="58">
        <v>1.38</v>
      </c>
      <c r="R5" s="75"/>
      <c r="S5" s="75">
        <v>44947</v>
      </c>
      <c r="T5" s="58">
        <f>(S5-N4)/360*$U$4*$K$4</f>
        <v>1.19</v>
      </c>
      <c r="U5" s="58">
        <f t="shared" ref="U5:U16" si="0">T5-Q5</f>
        <v>-0.19</v>
      </c>
      <c r="V5" s="52"/>
      <c r="W5" s="44"/>
      <c r="X5" s="44"/>
      <c r="Y5" s="44">
        <f>ROUNDDOWN((V5-N4)*K4*X4/365,2)</f>
        <v>-369.14</v>
      </c>
      <c r="Z5" s="44"/>
      <c r="AA5" s="44"/>
      <c r="AB5" s="44"/>
    </row>
    <row r="6" spans="1:30" s="35" customFormat="1">
      <c r="A6" s="44"/>
      <c r="B6" s="44"/>
      <c r="C6" s="44"/>
      <c r="D6" s="44"/>
      <c r="E6" s="44"/>
      <c r="F6" s="44"/>
      <c r="G6" s="44"/>
      <c r="H6" s="44"/>
      <c r="I6" s="44"/>
      <c r="J6" s="44"/>
      <c r="K6" s="44"/>
      <c r="L6" s="44"/>
      <c r="M6" s="51"/>
      <c r="N6" s="52"/>
      <c r="O6" s="52"/>
      <c r="P6" s="75">
        <v>44985</v>
      </c>
      <c r="Q6" s="58">
        <v>1.19</v>
      </c>
      <c r="R6" s="75"/>
      <c r="S6" s="75">
        <v>44985</v>
      </c>
      <c r="T6" s="58">
        <f t="shared" ref="T6:T16" si="1">(S6-S5)*$K$4*$U$4/360</f>
        <v>1.33</v>
      </c>
      <c r="U6" s="58">
        <f t="shared" si="0"/>
        <v>0.14000000000000001</v>
      </c>
      <c r="V6" s="44"/>
      <c r="W6" s="44"/>
      <c r="X6" s="44"/>
      <c r="Y6" s="44"/>
      <c r="Z6" s="44"/>
      <c r="AA6" s="44"/>
      <c r="AB6" s="44"/>
    </row>
    <row r="7" spans="1:30" s="35" customFormat="1">
      <c r="A7" s="44"/>
      <c r="B7" s="44"/>
      <c r="C7" s="44"/>
      <c r="D7" s="44"/>
      <c r="E7" s="44"/>
      <c r="F7" s="44"/>
      <c r="G7" s="44"/>
      <c r="H7" s="44"/>
      <c r="I7" s="44"/>
      <c r="J7" s="44"/>
      <c r="K7" s="44"/>
      <c r="L7" s="44"/>
      <c r="M7" s="51"/>
      <c r="N7" s="52"/>
      <c r="O7" s="52"/>
      <c r="P7" s="75">
        <v>45006</v>
      </c>
      <c r="Q7" s="58">
        <v>1.07</v>
      </c>
      <c r="R7" s="75"/>
      <c r="S7" s="75">
        <v>45006</v>
      </c>
      <c r="T7" s="58">
        <f t="shared" si="1"/>
        <v>0.74</v>
      </c>
      <c r="U7" s="58">
        <f t="shared" si="0"/>
        <v>-0.33</v>
      </c>
      <c r="V7" s="44"/>
      <c r="W7" s="44"/>
      <c r="X7" s="44"/>
      <c r="Y7" s="44"/>
      <c r="Z7" s="44"/>
      <c r="AA7" s="44"/>
      <c r="AB7" s="44"/>
    </row>
    <row r="8" spans="1:30" s="35" customFormat="1">
      <c r="A8" s="44"/>
      <c r="B8" s="44"/>
      <c r="C8" s="44"/>
      <c r="D8" s="44"/>
      <c r="E8" s="44"/>
      <c r="F8" s="44"/>
      <c r="G8" s="44"/>
      <c r="H8" s="44"/>
      <c r="I8" s="44"/>
      <c r="J8" s="44"/>
      <c r="K8" s="44"/>
      <c r="L8" s="44"/>
      <c r="M8" s="51"/>
      <c r="N8" s="52"/>
      <c r="O8" s="52"/>
      <c r="P8" s="75">
        <v>45046</v>
      </c>
      <c r="Q8" s="58">
        <v>1.19</v>
      </c>
      <c r="R8" s="75"/>
      <c r="S8" s="75">
        <v>45046</v>
      </c>
      <c r="T8" s="58">
        <f t="shared" si="1"/>
        <v>1.4</v>
      </c>
      <c r="U8" s="58">
        <f t="shared" si="0"/>
        <v>0.21</v>
      </c>
      <c r="V8" s="44"/>
      <c r="W8" s="44"/>
      <c r="X8" s="44"/>
      <c r="Y8" s="44"/>
      <c r="Z8" s="44"/>
      <c r="AA8" s="44"/>
      <c r="AB8" s="44"/>
    </row>
    <row r="9" spans="1:30" s="35" customFormat="1">
      <c r="A9" s="44"/>
      <c r="B9" s="44"/>
      <c r="C9" s="44"/>
      <c r="D9" s="44"/>
      <c r="E9" s="44"/>
      <c r="F9" s="44"/>
      <c r="G9" s="44"/>
      <c r="H9" s="44"/>
      <c r="I9" s="44"/>
      <c r="J9" s="44"/>
      <c r="K9" s="44"/>
      <c r="L9" s="44"/>
      <c r="M9" s="51"/>
      <c r="N9" s="52"/>
      <c r="O9" s="52"/>
      <c r="P9" s="75">
        <v>45077</v>
      </c>
      <c r="Q9" s="58">
        <v>1.1499999999999999</v>
      </c>
      <c r="R9" s="75"/>
      <c r="S9" s="75">
        <v>45077</v>
      </c>
      <c r="T9" s="58">
        <f t="shared" si="1"/>
        <v>1.0900000000000001</v>
      </c>
      <c r="U9" s="58">
        <f t="shared" si="0"/>
        <v>-0.06</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75">
        <v>45107</v>
      </c>
      <c r="Q10" s="58">
        <v>1.19</v>
      </c>
      <c r="R10" s="75"/>
      <c r="S10" s="75">
        <v>45107</v>
      </c>
      <c r="T10" s="58">
        <f t="shared" si="1"/>
        <v>1.05</v>
      </c>
      <c r="U10" s="58">
        <f t="shared" si="0"/>
        <v>-0.14000000000000001</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75">
        <v>45138</v>
      </c>
      <c r="Q11" s="58">
        <v>1.1499999999999999</v>
      </c>
      <c r="R11" s="75"/>
      <c r="S11" s="75">
        <v>45138</v>
      </c>
      <c r="T11" s="58">
        <f t="shared" si="1"/>
        <v>1.0900000000000001</v>
      </c>
      <c r="U11" s="58">
        <f t="shared" si="0"/>
        <v>-0.06</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75">
        <v>45169</v>
      </c>
      <c r="Q12" s="58">
        <v>1.19</v>
      </c>
      <c r="R12" s="75"/>
      <c r="S12" s="75">
        <v>45169</v>
      </c>
      <c r="T12" s="58">
        <f t="shared" si="1"/>
        <v>1.0900000000000001</v>
      </c>
      <c r="U12" s="58">
        <f t="shared" si="0"/>
        <v>-0.1</v>
      </c>
      <c r="V12" s="44"/>
      <c r="W12" s="44"/>
      <c r="X12" s="44"/>
      <c r="Y12" s="44"/>
      <c r="Z12" s="44"/>
      <c r="AA12" s="44"/>
      <c r="AB12" s="44"/>
    </row>
    <row r="13" spans="1:30" s="35" customFormat="1">
      <c r="A13" s="44"/>
      <c r="B13" s="44"/>
      <c r="C13" s="44"/>
      <c r="D13" s="44"/>
      <c r="E13" s="44"/>
      <c r="F13" s="44"/>
      <c r="G13" s="44"/>
      <c r="H13" s="44"/>
      <c r="I13" s="44"/>
      <c r="J13" s="44"/>
      <c r="K13" s="44"/>
      <c r="L13" s="44"/>
      <c r="M13" s="51"/>
      <c r="N13" s="52"/>
      <c r="O13" s="52"/>
      <c r="P13" s="75">
        <v>45195</v>
      </c>
      <c r="Q13" s="58">
        <v>1.19</v>
      </c>
      <c r="R13" s="75"/>
      <c r="S13" s="75">
        <v>45195</v>
      </c>
      <c r="T13" s="58">
        <f t="shared" si="1"/>
        <v>0.91</v>
      </c>
      <c r="U13" s="58">
        <f t="shared" si="0"/>
        <v>-0.28000000000000003</v>
      </c>
      <c r="V13" s="44"/>
      <c r="W13" s="44"/>
      <c r="X13" s="44"/>
      <c r="Y13" s="44"/>
      <c r="Z13" s="44"/>
      <c r="AA13" s="44"/>
      <c r="AB13" s="44"/>
    </row>
    <row r="14" spans="1:30" s="35" customFormat="1">
      <c r="A14" s="44"/>
      <c r="B14" s="44"/>
      <c r="C14" s="44"/>
      <c r="D14" s="44"/>
      <c r="E14" s="44"/>
      <c r="F14" s="44"/>
      <c r="G14" s="44"/>
      <c r="H14" s="44"/>
      <c r="I14" s="44"/>
      <c r="J14" s="44"/>
      <c r="K14" s="44"/>
      <c r="L14" s="44"/>
      <c r="M14" s="51"/>
      <c r="N14" s="52"/>
      <c r="O14" s="52"/>
      <c r="P14" s="75">
        <v>45230</v>
      </c>
      <c r="Q14" s="58">
        <v>1.1499999999999999</v>
      </c>
      <c r="R14" s="75"/>
      <c r="S14" s="75">
        <v>45230</v>
      </c>
      <c r="T14" s="58">
        <f t="shared" si="1"/>
        <v>1.23</v>
      </c>
      <c r="U14" s="58">
        <f t="shared" si="0"/>
        <v>0.08</v>
      </c>
      <c r="V14" s="44"/>
      <c r="W14" s="44"/>
      <c r="X14" s="44"/>
      <c r="Y14" s="44"/>
      <c r="Z14" s="44"/>
      <c r="AA14" s="44"/>
      <c r="AB14" s="44"/>
    </row>
    <row r="15" spans="1:30" s="35" customFormat="1">
      <c r="A15" s="44"/>
      <c r="B15" s="44"/>
      <c r="C15" s="44"/>
      <c r="D15" s="44"/>
      <c r="E15" s="44"/>
      <c r="F15" s="44"/>
      <c r="G15" s="44"/>
      <c r="H15" s="44"/>
      <c r="I15" s="44"/>
      <c r="J15" s="44"/>
      <c r="K15" s="44"/>
      <c r="L15" s="44"/>
      <c r="M15" s="51"/>
      <c r="N15" s="52"/>
      <c r="O15" s="52"/>
      <c r="P15" s="75">
        <v>45260</v>
      </c>
      <c r="Q15" s="58">
        <v>1.19</v>
      </c>
      <c r="R15" s="75"/>
      <c r="S15" s="75">
        <v>45260</v>
      </c>
      <c r="T15" s="58">
        <f t="shared" si="1"/>
        <v>1.05</v>
      </c>
      <c r="U15" s="58">
        <f t="shared" si="0"/>
        <v>-0.14000000000000001</v>
      </c>
      <c r="V15" s="44"/>
      <c r="W15" s="44"/>
      <c r="X15" s="44"/>
      <c r="Y15" s="44"/>
      <c r="Z15" s="44"/>
      <c r="AA15" s="44"/>
      <c r="AB15" s="44"/>
    </row>
    <row r="16" spans="1:30" s="35" customFormat="1">
      <c r="A16" s="44"/>
      <c r="B16" s="44"/>
      <c r="C16" s="44"/>
      <c r="D16" s="44"/>
      <c r="E16" s="44"/>
      <c r="F16" s="44"/>
      <c r="G16" s="44"/>
      <c r="H16" s="44"/>
      <c r="I16" s="44"/>
      <c r="J16" s="44"/>
      <c r="K16" s="44"/>
      <c r="L16" s="44"/>
      <c r="M16" s="51"/>
      <c r="N16" s="52"/>
      <c r="O16" s="52"/>
      <c r="P16" s="75">
        <v>45291</v>
      </c>
      <c r="Q16" s="58">
        <v>0.88</v>
      </c>
      <c r="R16" s="75"/>
      <c r="S16" s="75">
        <v>45291</v>
      </c>
      <c r="T16" s="58">
        <f t="shared" si="1"/>
        <v>1.0900000000000001</v>
      </c>
      <c r="U16" s="58">
        <f t="shared" si="0"/>
        <v>0.21</v>
      </c>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2">B26</f>
        <v>0</v>
      </c>
      <c r="C48" s="43">
        <f t="shared" si="2"/>
        <v>0</v>
      </c>
      <c r="D48" s="43">
        <f t="shared" si="2"/>
        <v>0</v>
      </c>
      <c r="E48" s="43">
        <f t="shared" si="2"/>
        <v>0</v>
      </c>
      <c r="F48" s="43">
        <f t="shared" si="2"/>
        <v>0</v>
      </c>
      <c r="G48" s="43">
        <f t="shared" si="2"/>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300</v>
      </c>
      <c r="L114" s="43"/>
      <c r="M114" s="49"/>
      <c r="N114" s="50"/>
      <c r="O114" s="50"/>
      <c r="P114" s="76"/>
      <c r="Q114" s="43"/>
      <c r="R114" s="43">
        <f>R92+R70+R48+R26++R4</f>
        <v>3</v>
      </c>
      <c r="S114" s="43"/>
      <c r="T114" s="43"/>
      <c r="U114" s="43"/>
      <c r="V114" s="43"/>
      <c r="W114" s="43"/>
      <c r="X114" s="43"/>
      <c r="Y114" s="43">
        <f>Y92+Y70+Y48+Y26++Y4</f>
        <v>0</v>
      </c>
      <c r="Z114" s="43"/>
      <c r="AA114" s="43"/>
      <c r="AB114" s="43"/>
    </row>
    <row r="115" spans="1:28">
      <c r="I115" s="36" t="s">
        <v>49</v>
      </c>
      <c r="K115" s="36">
        <f>IF(K114&gt;3000,K116,K114)</f>
        <v>300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AD116"/>
  <sheetViews>
    <sheetView topLeftCell="I1" zoomScale="70" zoomScaleNormal="70" workbookViewId="0">
      <pane ySplit="3" topLeftCell="A4" activePane="bottomLeft" state="frozen"/>
      <selection pane="bottomLeft" activeCell="AB5" sqref="AB5"/>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四川龙蛋数字农业供应链有限公司审计明细表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70">
      <c r="A4" s="43">
        <v>1</v>
      </c>
      <c r="B4" s="43" t="s">
        <v>711</v>
      </c>
      <c r="C4" s="43" t="s">
        <v>1105</v>
      </c>
      <c r="D4" s="43" t="s">
        <v>1126</v>
      </c>
      <c r="E4" s="43" t="s">
        <v>711</v>
      </c>
      <c r="F4" s="43" t="s">
        <v>1127</v>
      </c>
      <c r="G4" s="43" t="s">
        <v>1128</v>
      </c>
      <c r="H4" s="71" t="s">
        <v>56</v>
      </c>
      <c r="I4" s="43" t="s">
        <v>1129</v>
      </c>
      <c r="J4" s="71" t="s">
        <v>58</v>
      </c>
      <c r="K4" s="71">
        <v>1000</v>
      </c>
      <c r="L4" s="43" t="s">
        <v>1130</v>
      </c>
      <c r="M4" s="49" t="s">
        <v>1131</v>
      </c>
      <c r="N4" s="50">
        <v>45258</v>
      </c>
      <c r="O4" s="50">
        <v>45291</v>
      </c>
      <c r="P4" s="43">
        <f>P5-N4</f>
        <v>23</v>
      </c>
      <c r="Q4" s="55">
        <f>SUM(Q5:Q25)</f>
        <v>2.33</v>
      </c>
      <c r="R4" s="55">
        <v>1.25</v>
      </c>
      <c r="S4" s="43"/>
      <c r="T4" s="55">
        <f>SUM(T5:T19)</f>
        <v>2.33</v>
      </c>
      <c r="U4" s="56">
        <v>3.6499999999999998E-2</v>
      </c>
      <c r="V4" s="50"/>
      <c r="W4" s="43" t="s">
        <v>42</v>
      </c>
      <c r="X4" s="57">
        <v>1.4999999999999999E-2</v>
      </c>
      <c r="Y4" s="43">
        <f>ROUNDDOWN(IF((O4-N4+1)*K4*X4/365&gt;R4,R4,(O4-N4+1)*K4*X4/365),2)</f>
        <v>1.25</v>
      </c>
      <c r="Z4" s="55">
        <f>R4-Y4</f>
        <v>0</v>
      </c>
      <c r="AA4" s="55"/>
      <c r="AB4" s="43" t="s">
        <v>61</v>
      </c>
      <c r="AD4" s="61">
        <f>(O4-N4+1)*K4*X4/365</f>
        <v>1.3973</v>
      </c>
    </row>
    <row r="5" spans="1:30" s="35" customFormat="1">
      <c r="A5" s="44"/>
      <c r="B5" s="44"/>
      <c r="C5" s="44"/>
      <c r="D5" s="44"/>
      <c r="E5" s="44"/>
      <c r="F5" s="44"/>
      <c r="G5" s="44"/>
      <c r="H5" s="42"/>
      <c r="I5" s="44"/>
      <c r="J5" s="42"/>
      <c r="K5" s="42"/>
      <c r="L5" s="44"/>
      <c r="M5" s="51"/>
      <c r="N5" s="52"/>
      <c r="O5" s="50">
        <v>45623</v>
      </c>
      <c r="P5" s="75">
        <v>45281</v>
      </c>
      <c r="Q5" s="58">
        <v>2.33</v>
      </c>
      <c r="R5" s="44"/>
      <c r="S5" s="75">
        <v>45281</v>
      </c>
      <c r="T5" s="58">
        <f>(S5-N4)/360*$U$4*$K$4</f>
        <v>2.33</v>
      </c>
      <c r="U5" s="58">
        <f>T5-Q5</f>
        <v>0</v>
      </c>
      <c r="V5" s="52"/>
      <c r="W5" s="44"/>
      <c r="X5" s="44"/>
      <c r="Y5" s="44">
        <f>ROUNDDOWN((V5-N4)*K4*X4/365,2)</f>
        <v>-1859.91</v>
      </c>
      <c r="Z5" s="44"/>
      <c r="AA5" s="44"/>
      <c r="AB5" s="44"/>
    </row>
    <row r="6" spans="1:30" s="35" customFormat="1" hidden="1">
      <c r="A6" s="44"/>
      <c r="B6" s="44"/>
      <c r="C6" s="44"/>
      <c r="D6" s="44"/>
      <c r="E6" s="44"/>
      <c r="F6" s="44"/>
      <c r="G6" s="44"/>
      <c r="H6" s="42"/>
      <c r="I6" s="44"/>
      <c r="J6" s="42"/>
      <c r="K6" s="42"/>
      <c r="L6" s="44"/>
      <c r="M6" s="51"/>
      <c r="N6" s="52"/>
      <c r="O6" s="52"/>
      <c r="P6" s="75"/>
      <c r="Q6" s="58"/>
      <c r="R6" s="44"/>
      <c r="S6" s="75"/>
      <c r="T6" s="58"/>
      <c r="U6" s="58"/>
      <c r="V6" s="44"/>
      <c r="W6" s="44"/>
      <c r="X6" s="44"/>
      <c r="Y6" s="44"/>
      <c r="Z6" s="44"/>
      <c r="AA6" s="44"/>
      <c r="AB6" s="44"/>
    </row>
    <row r="7" spans="1:30" s="35" customFormat="1" hidden="1">
      <c r="A7" s="44"/>
      <c r="B7" s="44"/>
      <c r="C7" s="44"/>
      <c r="D7" s="44"/>
      <c r="E7" s="44"/>
      <c r="F7" s="44"/>
      <c r="G7" s="44"/>
      <c r="H7" s="42"/>
      <c r="I7" s="44"/>
      <c r="J7" s="42"/>
      <c r="K7" s="42"/>
      <c r="L7" s="44"/>
      <c r="M7" s="51"/>
      <c r="N7" s="52"/>
      <c r="O7" s="52"/>
      <c r="P7" s="75"/>
      <c r="Q7" s="58"/>
      <c r="R7" s="44"/>
      <c r="S7" s="75"/>
      <c r="T7" s="58">
        <f t="shared" ref="T7:T19" si="0">(S7-S6)*$K$4*$U$4/360</f>
        <v>0</v>
      </c>
      <c r="U7" s="58">
        <f t="shared" ref="U7:U19" si="1">T7-Q7</f>
        <v>0</v>
      </c>
      <c r="V7" s="44"/>
      <c r="W7" s="44"/>
      <c r="X7" s="44"/>
      <c r="Y7" s="44"/>
      <c r="Z7" s="44"/>
      <c r="AA7" s="44"/>
      <c r="AB7" s="44"/>
    </row>
    <row r="8" spans="1:30" s="35" customFormat="1" hidden="1">
      <c r="A8" s="44"/>
      <c r="B8" s="44"/>
      <c r="C8" s="44"/>
      <c r="D8" s="44"/>
      <c r="E8" s="44"/>
      <c r="F8" s="44"/>
      <c r="G8" s="44"/>
      <c r="H8" s="42"/>
      <c r="I8" s="44"/>
      <c r="J8" s="42"/>
      <c r="K8" s="42"/>
      <c r="L8" s="44"/>
      <c r="M8" s="51"/>
      <c r="N8" s="52"/>
      <c r="O8" s="52"/>
      <c r="P8" s="75"/>
      <c r="Q8" s="58"/>
      <c r="R8" s="44"/>
      <c r="S8" s="75"/>
      <c r="T8" s="58">
        <f t="shared" si="0"/>
        <v>0</v>
      </c>
      <c r="U8" s="58">
        <f t="shared" si="1"/>
        <v>0</v>
      </c>
      <c r="V8" s="44"/>
      <c r="W8" s="44"/>
      <c r="X8" s="44"/>
      <c r="Y8" s="44"/>
      <c r="Z8" s="44"/>
      <c r="AA8" s="44"/>
      <c r="AB8" s="44"/>
    </row>
    <row r="9" spans="1:30" s="35" customFormat="1" hidden="1">
      <c r="A9" s="44"/>
      <c r="B9" s="44"/>
      <c r="C9" s="44"/>
      <c r="D9" s="44"/>
      <c r="E9" s="44"/>
      <c r="F9" s="44"/>
      <c r="G9" s="44"/>
      <c r="H9" s="42"/>
      <c r="I9" s="44"/>
      <c r="J9" s="42"/>
      <c r="K9" s="42"/>
      <c r="L9" s="44"/>
      <c r="M9" s="51"/>
      <c r="N9" s="52"/>
      <c r="O9" s="52"/>
      <c r="P9" s="75"/>
      <c r="Q9" s="58"/>
      <c r="R9" s="44"/>
      <c r="S9" s="75"/>
      <c r="T9" s="58">
        <f t="shared" si="0"/>
        <v>0</v>
      </c>
      <c r="U9" s="58">
        <f t="shared" si="1"/>
        <v>0</v>
      </c>
      <c r="V9" s="44"/>
      <c r="W9" s="44"/>
      <c r="X9" s="44"/>
      <c r="Y9" s="44"/>
      <c r="Z9" s="44"/>
      <c r="AA9" s="44"/>
      <c r="AB9" s="44"/>
    </row>
    <row r="10" spans="1:30" s="35" customFormat="1" hidden="1">
      <c r="A10" s="44"/>
      <c r="B10" s="44"/>
      <c r="C10" s="44"/>
      <c r="D10" s="44"/>
      <c r="E10" s="44"/>
      <c r="F10" s="44"/>
      <c r="G10" s="44"/>
      <c r="H10" s="42"/>
      <c r="I10" s="44"/>
      <c r="J10" s="42"/>
      <c r="K10" s="42"/>
      <c r="L10" s="44"/>
      <c r="M10" s="51"/>
      <c r="N10" s="52"/>
      <c r="O10" s="52"/>
      <c r="P10" s="75"/>
      <c r="Q10" s="58"/>
      <c r="R10" s="44"/>
      <c r="S10" s="75"/>
      <c r="T10" s="58">
        <f t="shared" si="0"/>
        <v>0</v>
      </c>
      <c r="U10" s="58">
        <f t="shared" si="1"/>
        <v>0</v>
      </c>
      <c r="V10" s="44"/>
      <c r="W10" s="44"/>
      <c r="X10" s="44"/>
      <c r="Y10" s="44"/>
      <c r="Z10" s="44"/>
      <c r="AA10" s="44"/>
      <c r="AB10" s="44"/>
    </row>
    <row r="11" spans="1:30" s="35" customFormat="1" hidden="1">
      <c r="A11" s="44"/>
      <c r="B11" s="44"/>
      <c r="C11" s="44"/>
      <c r="D11" s="44"/>
      <c r="E11" s="44"/>
      <c r="F11" s="44"/>
      <c r="G11" s="44"/>
      <c r="H11" s="42"/>
      <c r="I11" s="44"/>
      <c r="J11" s="42"/>
      <c r="K11" s="42"/>
      <c r="L11" s="44"/>
      <c r="M11" s="51"/>
      <c r="N11" s="52"/>
      <c r="O11" s="52"/>
      <c r="P11" s="75"/>
      <c r="Q11" s="58"/>
      <c r="R11" s="44"/>
      <c r="S11" s="75"/>
      <c r="T11" s="58">
        <f t="shared" si="0"/>
        <v>0</v>
      </c>
      <c r="U11" s="58">
        <f t="shared" si="1"/>
        <v>0</v>
      </c>
      <c r="V11" s="44"/>
      <c r="W11" s="44"/>
      <c r="X11" s="44"/>
      <c r="Y11" s="44"/>
      <c r="Z11" s="44"/>
      <c r="AA11" s="44"/>
      <c r="AB11" s="44"/>
    </row>
    <row r="12" spans="1:30" s="35" customFormat="1" hidden="1">
      <c r="A12" s="44"/>
      <c r="B12" s="44"/>
      <c r="C12" s="44"/>
      <c r="D12" s="44"/>
      <c r="E12" s="44"/>
      <c r="F12" s="44"/>
      <c r="G12" s="44"/>
      <c r="H12" s="42"/>
      <c r="I12" s="44"/>
      <c r="J12" s="42"/>
      <c r="K12" s="42"/>
      <c r="L12" s="44"/>
      <c r="M12" s="51"/>
      <c r="N12" s="52"/>
      <c r="O12" s="52"/>
      <c r="P12" s="75"/>
      <c r="Q12" s="58"/>
      <c r="R12" s="44"/>
      <c r="S12" s="75"/>
      <c r="T12" s="58">
        <f t="shared" si="0"/>
        <v>0</v>
      </c>
      <c r="U12" s="58">
        <f t="shared" si="1"/>
        <v>0</v>
      </c>
      <c r="V12" s="44"/>
      <c r="W12" s="44"/>
      <c r="X12" s="44"/>
      <c r="Y12" s="44"/>
      <c r="Z12" s="44"/>
      <c r="AA12" s="44"/>
      <c r="AB12" s="44"/>
    </row>
    <row r="13" spans="1:30" s="35" customFormat="1" hidden="1">
      <c r="A13" s="44"/>
      <c r="B13" s="44"/>
      <c r="C13" s="44"/>
      <c r="D13" s="44"/>
      <c r="E13" s="44"/>
      <c r="F13" s="44"/>
      <c r="G13" s="44"/>
      <c r="H13" s="42"/>
      <c r="I13" s="44"/>
      <c r="J13" s="42"/>
      <c r="K13" s="42"/>
      <c r="L13" s="44"/>
      <c r="M13" s="51"/>
      <c r="N13" s="52"/>
      <c r="O13" s="52"/>
      <c r="P13" s="75"/>
      <c r="Q13" s="58"/>
      <c r="R13" s="44"/>
      <c r="S13" s="75"/>
      <c r="T13" s="58">
        <f t="shared" si="0"/>
        <v>0</v>
      </c>
      <c r="U13" s="58">
        <f t="shared" si="1"/>
        <v>0</v>
      </c>
      <c r="V13" s="44"/>
      <c r="W13" s="44"/>
      <c r="X13" s="44"/>
      <c r="Y13" s="44"/>
      <c r="Z13" s="44"/>
      <c r="AA13" s="44"/>
      <c r="AB13" s="44"/>
    </row>
    <row r="14" spans="1:30" s="35" customFormat="1" hidden="1">
      <c r="A14" s="44"/>
      <c r="B14" s="44"/>
      <c r="C14" s="44"/>
      <c r="D14" s="44"/>
      <c r="E14" s="44"/>
      <c r="F14" s="44"/>
      <c r="G14" s="44"/>
      <c r="H14" s="42"/>
      <c r="I14" s="44"/>
      <c r="J14" s="42"/>
      <c r="K14" s="42"/>
      <c r="L14" s="44"/>
      <c r="M14" s="51"/>
      <c r="N14" s="52"/>
      <c r="O14" s="52"/>
      <c r="P14" s="75"/>
      <c r="Q14" s="58"/>
      <c r="R14" s="44"/>
      <c r="S14" s="75"/>
      <c r="T14" s="58">
        <f t="shared" si="0"/>
        <v>0</v>
      </c>
      <c r="U14" s="58">
        <f t="shared" si="1"/>
        <v>0</v>
      </c>
      <c r="V14" s="44"/>
      <c r="W14" s="44"/>
      <c r="X14" s="44"/>
      <c r="Y14" s="44"/>
      <c r="Z14" s="44"/>
      <c r="AA14" s="44"/>
      <c r="AB14" s="44"/>
    </row>
    <row r="15" spans="1:30" s="35" customFormat="1" hidden="1">
      <c r="A15" s="44"/>
      <c r="B15" s="44"/>
      <c r="C15" s="44"/>
      <c r="D15" s="44"/>
      <c r="E15" s="44"/>
      <c r="F15" s="44"/>
      <c r="G15" s="44"/>
      <c r="H15" s="42"/>
      <c r="I15" s="44"/>
      <c r="J15" s="42"/>
      <c r="K15" s="42"/>
      <c r="L15" s="44"/>
      <c r="M15" s="51"/>
      <c r="N15" s="52"/>
      <c r="O15" s="52"/>
      <c r="P15" s="75"/>
      <c r="Q15" s="58"/>
      <c r="R15" s="44"/>
      <c r="S15" s="75"/>
      <c r="T15" s="58">
        <f t="shared" si="0"/>
        <v>0</v>
      </c>
      <c r="U15" s="58">
        <f t="shared" si="1"/>
        <v>0</v>
      </c>
      <c r="V15" s="44"/>
      <c r="W15" s="44"/>
      <c r="X15" s="44"/>
      <c r="Y15" s="44"/>
      <c r="Z15" s="44"/>
      <c r="AA15" s="44"/>
      <c r="AB15" s="44"/>
    </row>
    <row r="16" spans="1:30" s="35" customFormat="1" hidden="1">
      <c r="A16" s="44"/>
      <c r="B16" s="44"/>
      <c r="C16" s="44"/>
      <c r="D16" s="44"/>
      <c r="E16" s="44"/>
      <c r="F16" s="44"/>
      <c r="G16" s="44"/>
      <c r="H16" s="42"/>
      <c r="I16" s="44"/>
      <c r="J16" s="42"/>
      <c r="K16" s="42"/>
      <c r="L16" s="44"/>
      <c r="M16" s="51"/>
      <c r="N16" s="52"/>
      <c r="O16" s="52"/>
      <c r="P16" s="75"/>
      <c r="Q16" s="58"/>
      <c r="R16" s="44"/>
      <c r="S16" s="75"/>
      <c r="T16" s="58">
        <f t="shared" si="0"/>
        <v>0</v>
      </c>
      <c r="U16" s="58">
        <f t="shared" si="1"/>
        <v>0</v>
      </c>
      <c r="V16" s="44"/>
      <c r="W16" s="44"/>
      <c r="X16" s="44"/>
      <c r="Y16" s="44"/>
      <c r="Z16" s="44"/>
      <c r="AA16" s="44"/>
      <c r="AB16" s="44"/>
    </row>
    <row r="17" spans="1:28" s="35" customFormat="1" hidden="1">
      <c r="A17" s="44"/>
      <c r="B17" s="44"/>
      <c r="C17" s="44"/>
      <c r="D17" s="44"/>
      <c r="E17" s="44"/>
      <c r="F17" s="44"/>
      <c r="G17" s="44"/>
      <c r="H17" s="42"/>
      <c r="I17" s="44"/>
      <c r="J17" s="42"/>
      <c r="K17" s="42"/>
      <c r="L17" s="44"/>
      <c r="M17" s="51"/>
      <c r="N17" s="52"/>
      <c r="O17" s="52"/>
      <c r="P17" s="75"/>
      <c r="Q17" s="58"/>
      <c r="R17" s="44"/>
      <c r="S17" s="75"/>
      <c r="T17" s="58">
        <f t="shared" si="0"/>
        <v>0</v>
      </c>
      <c r="U17" s="58">
        <f t="shared" si="1"/>
        <v>0</v>
      </c>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75"/>
      <c r="T18" s="58">
        <f t="shared" si="0"/>
        <v>0</v>
      </c>
      <c r="U18" s="58">
        <f t="shared" si="1"/>
        <v>0</v>
      </c>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75"/>
      <c r="T19" s="58">
        <f t="shared" si="0"/>
        <v>0</v>
      </c>
      <c r="U19" s="58">
        <f t="shared" si="1"/>
        <v>0</v>
      </c>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711</v>
      </c>
      <c r="C26" s="43" t="s">
        <v>1105</v>
      </c>
      <c r="D26" s="43" t="s">
        <v>1126</v>
      </c>
      <c r="E26" s="43" t="s">
        <v>711</v>
      </c>
      <c r="F26" s="43" t="s">
        <v>1127</v>
      </c>
      <c r="G26" s="43" t="s">
        <v>1128</v>
      </c>
      <c r="H26" s="71" t="s">
        <v>56</v>
      </c>
      <c r="I26" s="43" t="s">
        <v>1132</v>
      </c>
      <c r="J26" s="71" t="s">
        <v>58</v>
      </c>
      <c r="K26" s="71">
        <v>1000</v>
      </c>
      <c r="L26" s="43" t="s">
        <v>1133</v>
      </c>
      <c r="M26" s="49" t="s">
        <v>1134</v>
      </c>
      <c r="N26" s="68">
        <v>44866</v>
      </c>
      <c r="O26" s="68">
        <v>45229</v>
      </c>
      <c r="P26" s="43">
        <f>P38-N26</f>
        <v>363</v>
      </c>
      <c r="Q26" s="55">
        <f>SUM(Q27:Q38)</f>
        <v>39.32</v>
      </c>
      <c r="R26" s="43">
        <v>15</v>
      </c>
      <c r="S26" s="43"/>
      <c r="T26" s="84">
        <f>SUM(T27:T38)</f>
        <v>39.340000000000003</v>
      </c>
      <c r="U26" s="56">
        <v>3.9E-2</v>
      </c>
      <c r="V26" s="50"/>
      <c r="W26" s="43" t="s">
        <v>42</v>
      </c>
      <c r="X26" s="57">
        <v>1.4999999999999999E-2</v>
      </c>
      <c r="Y26" s="43">
        <f>ROUNDDOWN(IF((O26-N26+1)*K26*X26/365&gt;R26,R26,(O26-N26+1)*K26*X26/365),2)</f>
        <v>14.95</v>
      </c>
      <c r="Z26" s="43">
        <f>R26-Y26</f>
        <v>5.0000000000000697E-2</v>
      </c>
      <c r="AA26" s="43" t="s">
        <v>126</v>
      </c>
      <c r="AB26" s="43" t="s">
        <v>61</v>
      </c>
    </row>
    <row r="27" spans="1:28" s="35" customFormat="1">
      <c r="A27" s="44"/>
      <c r="B27" s="44"/>
      <c r="C27" s="44"/>
      <c r="D27" s="44"/>
      <c r="E27" s="44"/>
      <c r="F27" s="44"/>
      <c r="G27" s="44"/>
      <c r="H27" s="42"/>
      <c r="I27" s="44"/>
      <c r="J27" s="42"/>
      <c r="K27" s="42"/>
      <c r="L27" s="44"/>
      <c r="M27" s="51"/>
      <c r="N27" s="52"/>
      <c r="O27" s="52"/>
      <c r="P27" s="75">
        <v>44886</v>
      </c>
      <c r="Q27" s="58">
        <v>5.41</v>
      </c>
      <c r="R27" s="44"/>
      <c r="S27" s="75">
        <f>P27</f>
        <v>44886</v>
      </c>
      <c r="T27" s="58">
        <f>(S27-N26)/360*$U$26*$K$26</f>
        <v>2.17</v>
      </c>
      <c r="U27" s="58">
        <f t="shared" ref="U27:U38" si="2">T27-Q27</f>
        <v>-3.24</v>
      </c>
      <c r="V27" s="52"/>
      <c r="W27" s="44"/>
      <c r="X27" s="44"/>
      <c r="Y27" s="62">
        <f>ROUNDUP((V27-N26)*K26*X26/365,2)</f>
        <v>-1843.81</v>
      </c>
      <c r="Z27" s="44"/>
      <c r="AA27" s="44"/>
      <c r="AB27" s="44"/>
    </row>
    <row r="28" spans="1:28" s="35" customFormat="1">
      <c r="A28" s="44"/>
      <c r="B28" s="44"/>
      <c r="C28" s="44"/>
      <c r="D28" s="44"/>
      <c r="E28" s="44"/>
      <c r="F28" s="44"/>
      <c r="G28" s="44"/>
      <c r="H28" s="42"/>
      <c r="I28" s="44"/>
      <c r="J28" s="42"/>
      <c r="K28" s="42"/>
      <c r="L28" s="44"/>
      <c r="M28" s="51"/>
      <c r="N28" s="52"/>
      <c r="O28" s="52"/>
      <c r="P28" s="75">
        <v>44947</v>
      </c>
      <c r="Q28" s="58">
        <v>3.13</v>
      </c>
      <c r="R28" s="44"/>
      <c r="S28" s="75">
        <v>44916</v>
      </c>
      <c r="T28" s="58">
        <f t="shared" ref="T28:T38" si="3">(S28-S27)*$U$26*$K$26/360</f>
        <v>3.25</v>
      </c>
      <c r="U28" s="58">
        <f t="shared" si="2"/>
        <v>0.12</v>
      </c>
      <c r="V28" s="44"/>
      <c r="W28" s="44"/>
      <c r="X28" s="44"/>
      <c r="Y28" s="62">
        <f>ROUNDUP((O26-V27+1)*(K26-W27)*X26/365,2)</f>
        <v>1858.77</v>
      </c>
      <c r="Z28" s="44"/>
      <c r="AA28" s="44"/>
      <c r="AB28" s="44"/>
    </row>
    <row r="29" spans="1:28" s="35" customFormat="1">
      <c r="A29" s="44"/>
      <c r="B29" s="44"/>
      <c r="C29" s="44"/>
      <c r="D29" s="44"/>
      <c r="E29" s="44"/>
      <c r="F29" s="44"/>
      <c r="G29" s="44"/>
      <c r="H29" s="42"/>
      <c r="I29" s="44"/>
      <c r="J29" s="42"/>
      <c r="K29" s="42"/>
      <c r="L29" s="44"/>
      <c r="M29" s="51"/>
      <c r="N29" s="52"/>
      <c r="O29" s="52"/>
      <c r="P29" s="75">
        <v>44954</v>
      </c>
      <c r="Q29" s="58">
        <v>0.22</v>
      </c>
      <c r="R29" s="44"/>
      <c r="S29" s="75">
        <v>44954</v>
      </c>
      <c r="T29" s="58">
        <f t="shared" si="3"/>
        <v>4.12</v>
      </c>
      <c r="U29" s="58">
        <f t="shared" si="2"/>
        <v>3.9</v>
      </c>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v>44978</v>
      </c>
      <c r="Q30" s="58">
        <v>3.36</v>
      </c>
      <c r="R30" s="44"/>
      <c r="S30" s="75">
        <v>44978</v>
      </c>
      <c r="T30" s="58">
        <f t="shared" si="3"/>
        <v>2.6</v>
      </c>
      <c r="U30" s="58">
        <f t="shared" si="2"/>
        <v>-0.76</v>
      </c>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v>45006</v>
      </c>
      <c r="Q31" s="58">
        <v>3.03</v>
      </c>
      <c r="R31" s="44"/>
      <c r="S31" s="75">
        <v>45006</v>
      </c>
      <c r="T31" s="58">
        <f t="shared" si="3"/>
        <v>3.03</v>
      </c>
      <c r="U31" s="58">
        <f t="shared" si="2"/>
        <v>0</v>
      </c>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v>45037</v>
      </c>
      <c r="Q32" s="58">
        <v>3.36</v>
      </c>
      <c r="R32" s="44"/>
      <c r="S32" s="75">
        <v>45037</v>
      </c>
      <c r="T32" s="58">
        <f t="shared" si="3"/>
        <v>3.36</v>
      </c>
      <c r="U32" s="58">
        <f t="shared" si="2"/>
        <v>0</v>
      </c>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v>45067</v>
      </c>
      <c r="Q33" s="58">
        <v>3.25</v>
      </c>
      <c r="R33" s="44"/>
      <c r="S33" s="75">
        <v>45067</v>
      </c>
      <c r="T33" s="58">
        <f t="shared" si="3"/>
        <v>3.25</v>
      </c>
      <c r="U33" s="78">
        <f t="shared" si="2"/>
        <v>0</v>
      </c>
      <c r="V33" s="44"/>
      <c r="W33" s="44"/>
      <c r="X33" s="44"/>
      <c r="Y33" s="44"/>
      <c r="Z33" s="44"/>
      <c r="AA33" s="44"/>
      <c r="AB33" s="44"/>
    </row>
    <row r="34" spans="1:28" s="35" customFormat="1">
      <c r="A34" s="44"/>
      <c r="B34" s="44"/>
      <c r="C34" s="44"/>
      <c r="D34" s="44"/>
      <c r="E34" s="44"/>
      <c r="F34" s="44"/>
      <c r="G34" s="44"/>
      <c r="H34" s="42"/>
      <c r="I34" s="44"/>
      <c r="J34" s="42"/>
      <c r="K34" s="42"/>
      <c r="L34" s="44"/>
      <c r="M34" s="51"/>
      <c r="N34" s="52"/>
      <c r="O34" s="52"/>
      <c r="P34" s="75">
        <v>45098</v>
      </c>
      <c r="Q34" s="58">
        <v>3.36</v>
      </c>
      <c r="R34" s="44"/>
      <c r="S34" s="75">
        <v>45098</v>
      </c>
      <c r="T34" s="58">
        <f t="shared" si="3"/>
        <v>3.36</v>
      </c>
      <c r="U34" s="78">
        <f t="shared" si="2"/>
        <v>0</v>
      </c>
      <c r="V34" s="44"/>
      <c r="W34" s="44"/>
      <c r="X34" s="44"/>
      <c r="Y34" s="44"/>
      <c r="Z34" s="44"/>
      <c r="AA34" s="44"/>
      <c r="AB34" s="44"/>
    </row>
    <row r="35" spans="1:28" s="35" customFormat="1">
      <c r="A35" s="44"/>
      <c r="B35" s="44"/>
      <c r="C35" s="44"/>
      <c r="D35" s="44"/>
      <c r="E35" s="44"/>
      <c r="F35" s="44"/>
      <c r="G35" s="44"/>
      <c r="H35" s="42"/>
      <c r="I35" s="44"/>
      <c r="J35" s="42"/>
      <c r="K35" s="42"/>
      <c r="L35" s="44"/>
      <c r="M35" s="51"/>
      <c r="N35" s="52"/>
      <c r="O35" s="52"/>
      <c r="P35" s="75">
        <v>45128</v>
      </c>
      <c r="Q35" s="58">
        <v>3.25</v>
      </c>
      <c r="R35" s="44"/>
      <c r="S35" s="75">
        <v>45128</v>
      </c>
      <c r="T35" s="58">
        <f t="shared" si="3"/>
        <v>3.25</v>
      </c>
      <c r="U35" s="78">
        <f t="shared" si="2"/>
        <v>0</v>
      </c>
      <c r="V35" s="44"/>
      <c r="W35" s="44"/>
      <c r="X35" s="44"/>
      <c r="Y35" s="44"/>
      <c r="Z35" s="44"/>
      <c r="AA35" s="44"/>
      <c r="AB35" s="44"/>
    </row>
    <row r="36" spans="1:28" s="35" customFormat="1">
      <c r="A36" s="44"/>
      <c r="B36" s="44"/>
      <c r="C36" s="44"/>
      <c r="D36" s="44"/>
      <c r="E36" s="44"/>
      <c r="F36" s="44"/>
      <c r="G36" s="44"/>
      <c r="H36" s="42"/>
      <c r="I36" s="44"/>
      <c r="J36" s="42"/>
      <c r="K36" s="42"/>
      <c r="L36" s="44"/>
      <c r="M36" s="51"/>
      <c r="N36" s="52"/>
      <c r="O36" s="52"/>
      <c r="P36" s="75">
        <v>45159</v>
      </c>
      <c r="Q36" s="58">
        <v>3.36</v>
      </c>
      <c r="R36" s="44"/>
      <c r="S36" s="75">
        <v>45159</v>
      </c>
      <c r="T36" s="58">
        <f t="shared" si="3"/>
        <v>3.36</v>
      </c>
      <c r="U36" s="58">
        <f t="shared" si="2"/>
        <v>0</v>
      </c>
      <c r="V36" s="44"/>
      <c r="W36" s="44"/>
      <c r="X36" s="44"/>
      <c r="Y36" s="44"/>
      <c r="Z36" s="44"/>
      <c r="AA36" s="44"/>
      <c r="AB36" s="44"/>
    </row>
    <row r="37" spans="1:28" s="35" customFormat="1">
      <c r="A37" s="44"/>
      <c r="B37" s="44"/>
      <c r="C37" s="44"/>
      <c r="D37" s="44"/>
      <c r="E37" s="44"/>
      <c r="F37" s="44"/>
      <c r="G37" s="44"/>
      <c r="H37" s="42"/>
      <c r="I37" s="44"/>
      <c r="J37" s="42"/>
      <c r="K37" s="42"/>
      <c r="L37" s="44"/>
      <c r="M37" s="51"/>
      <c r="N37" s="52"/>
      <c r="O37" s="52"/>
      <c r="P37" s="75">
        <v>45190</v>
      </c>
      <c r="Q37" s="58">
        <v>3.36</v>
      </c>
      <c r="R37" s="44"/>
      <c r="S37" s="75">
        <v>45190</v>
      </c>
      <c r="T37" s="58">
        <f t="shared" si="3"/>
        <v>3.36</v>
      </c>
      <c r="U37" s="58">
        <f t="shared" si="2"/>
        <v>0</v>
      </c>
      <c r="V37" s="44"/>
      <c r="W37" s="44"/>
      <c r="X37" s="44"/>
      <c r="Y37" s="44"/>
      <c r="Z37" s="44"/>
      <c r="AA37" s="44"/>
      <c r="AB37" s="44"/>
    </row>
    <row r="38" spans="1:28" s="35" customFormat="1">
      <c r="A38" s="44"/>
      <c r="B38" s="44"/>
      <c r="C38" s="44"/>
      <c r="D38" s="44"/>
      <c r="E38" s="44"/>
      <c r="F38" s="44"/>
      <c r="G38" s="44"/>
      <c r="H38" s="42"/>
      <c r="I38" s="44"/>
      <c r="J38" s="42"/>
      <c r="K38" s="42"/>
      <c r="L38" s="44"/>
      <c r="M38" s="51"/>
      <c r="N38" s="52"/>
      <c r="O38" s="52"/>
      <c r="P38" s="75">
        <v>45229</v>
      </c>
      <c r="Q38" s="58">
        <v>4.2300000000000004</v>
      </c>
      <c r="R38" s="44"/>
      <c r="S38" s="75">
        <v>45229</v>
      </c>
      <c r="T38" s="58">
        <f t="shared" si="3"/>
        <v>4.2300000000000004</v>
      </c>
      <c r="U38" s="58">
        <f t="shared" si="2"/>
        <v>0</v>
      </c>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71"/>
      <c r="I48" s="43"/>
      <c r="J48" s="71"/>
      <c r="K48" s="71"/>
      <c r="L48" s="43"/>
      <c r="M48" s="49"/>
      <c r="N48" s="50"/>
      <c r="O48" s="50"/>
      <c r="P48" s="76"/>
      <c r="Q48" s="55">
        <f>SUM(Q49:Q69)</f>
        <v>0</v>
      </c>
      <c r="R48" s="43"/>
      <c r="S48" s="43"/>
      <c r="T48" s="43"/>
      <c r="U48" s="56"/>
      <c r="V48" s="50"/>
      <c r="W48" s="43"/>
      <c r="X48" s="57"/>
      <c r="Y48" s="43"/>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4">B48</f>
        <v>0</v>
      </c>
      <c r="C70" s="43">
        <f t="shared" si="4"/>
        <v>0</v>
      </c>
      <c r="D70" s="43">
        <f t="shared" si="4"/>
        <v>0</v>
      </c>
      <c r="E70" s="43">
        <f t="shared" si="4"/>
        <v>0</v>
      </c>
      <c r="F70" s="43">
        <f t="shared" si="4"/>
        <v>0</v>
      </c>
      <c r="G70" s="43">
        <f t="shared" si="4"/>
        <v>0</v>
      </c>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5">B70</f>
        <v>0</v>
      </c>
      <c r="C92" s="43">
        <f t="shared" si="5"/>
        <v>0</v>
      </c>
      <c r="D92" s="43">
        <f t="shared" si="5"/>
        <v>0</v>
      </c>
      <c r="E92" s="43">
        <f t="shared" si="5"/>
        <v>0</v>
      </c>
      <c r="F92" s="43">
        <f t="shared" si="5"/>
        <v>0</v>
      </c>
      <c r="G92" s="43">
        <f t="shared" si="5"/>
        <v>0</v>
      </c>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2000</v>
      </c>
      <c r="L114" s="43"/>
      <c r="M114" s="49"/>
      <c r="N114" s="50"/>
      <c r="O114" s="50"/>
      <c r="P114" s="76"/>
      <c r="Q114" s="43"/>
      <c r="R114" s="43">
        <f>R92+R70+R48+R26++R4</f>
        <v>16.25</v>
      </c>
      <c r="S114" s="43"/>
      <c r="T114" s="43"/>
      <c r="U114" s="43"/>
      <c r="V114" s="43"/>
      <c r="W114" s="43"/>
      <c r="X114" s="43"/>
      <c r="Y114" s="43">
        <f>Y92+Y70+Y48+Y26++Y4</f>
        <v>16.2</v>
      </c>
      <c r="Z114" s="43"/>
      <c r="AA114" s="43"/>
      <c r="AB114" s="43"/>
    </row>
    <row r="115" spans="1:28">
      <c r="I115" s="36" t="s">
        <v>49</v>
      </c>
      <c r="K115" s="72">
        <f>IF(K114&gt;3000,K116,K114)</f>
        <v>2000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AD116"/>
  <sheetViews>
    <sheetView topLeftCell="I1" zoomScale="70" zoomScaleNormal="70" workbookViewId="0">
      <pane ySplit="3" topLeftCell="A4" activePane="bottomLeft" state="frozen"/>
      <selection pane="bottomLeft" activeCell="T131" sqref="T131"/>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成都中科信息技术有限公司审计明细表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685</v>
      </c>
      <c r="C4" s="43" t="s">
        <v>1120</v>
      </c>
      <c r="D4" s="43" t="s">
        <v>1135</v>
      </c>
      <c r="E4" s="71" t="s">
        <v>685</v>
      </c>
      <c r="F4" s="43" t="s">
        <v>1122</v>
      </c>
      <c r="G4" s="43" t="s">
        <v>1136</v>
      </c>
      <c r="H4" s="71" t="s">
        <v>56</v>
      </c>
      <c r="I4" s="43" t="s">
        <v>1132</v>
      </c>
      <c r="J4" s="71" t="s">
        <v>58</v>
      </c>
      <c r="K4" s="71">
        <v>1000</v>
      </c>
      <c r="L4" s="43" t="s">
        <v>1137</v>
      </c>
      <c r="M4" s="49" t="s">
        <v>1138</v>
      </c>
      <c r="N4" s="50">
        <v>44747</v>
      </c>
      <c r="O4" s="50">
        <v>45111</v>
      </c>
      <c r="P4" s="43">
        <f>P16-N4</f>
        <v>381</v>
      </c>
      <c r="Q4" s="55">
        <f>SUM(Q5:Q25)</f>
        <v>40.4</v>
      </c>
      <c r="R4" s="55">
        <v>15</v>
      </c>
      <c r="S4" s="43"/>
      <c r="T4" s="55">
        <f>SUM(T5:T25)</f>
        <v>42.29</v>
      </c>
      <c r="U4" s="56">
        <v>0.04</v>
      </c>
      <c r="V4" s="50"/>
      <c r="W4" s="43" t="s">
        <v>42</v>
      </c>
      <c r="X4" s="77">
        <v>1.4999999999999999E-2</v>
      </c>
      <c r="Y4" s="43">
        <f>ROUNDDOWN(IF((O4-N4+1)*K4*X4/365&gt;R4,R4,(O4-N4+1)*K4*X4/365),2)</f>
        <v>15</v>
      </c>
      <c r="Z4" s="55">
        <f>R4-Y4</f>
        <v>0</v>
      </c>
      <c r="AA4" s="55"/>
      <c r="AB4" s="43" t="s">
        <v>61</v>
      </c>
      <c r="AD4" s="61">
        <f>(O4-N4+1)*K4*X4/365</f>
        <v>15</v>
      </c>
    </row>
    <row r="5" spans="1:30" s="35" customFormat="1">
      <c r="A5" s="44"/>
      <c r="B5" s="44"/>
      <c r="C5" s="44"/>
      <c r="D5" s="44"/>
      <c r="E5" s="42"/>
      <c r="F5" s="44"/>
      <c r="G5" s="44"/>
      <c r="H5" s="42"/>
      <c r="I5" s="44"/>
      <c r="J5" s="42"/>
      <c r="K5" s="42"/>
      <c r="L5" s="44"/>
      <c r="M5" s="51"/>
      <c r="N5" s="52"/>
      <c r="O5" s="52"/>
      <c r="P5" s="75">
        <v>44794</v>
      </c>
      <c r="Q5" s="58">
        <v>5.22</v>
      </c>
      <c r="R5" s="44"/>
      <c r="S5" s="75">
        <v>44794</v>
      </c>
      <c r="T5" s="58">
        <f>(S5-N4)/360*$U$4*$K$4</f>
        <v>5.22</v>
      </c>
      <c r="U5" s="58">
        <f t="shared" ref="U5:U16" si="0">T5-Q5</f>
        <v>0</v>
      </c>
      <c r="V5" s="52"/>
      <c r="W5" s="58"/>
      <c r="X5" s="42"/>
      <c r="Y5" s="44">
        <f>ROUNDDOWN((V5-N4)*K4*X4/365,2)</f>
        <v>-1838.91</v>
      </c>
      <c r="Z5" s="44"/>
      <c r="AA5" s="44"/>
      <c r="AB5" s="44"/>
    </row>
    <row r="6" spans="1:30" s="35" customFormat="1">
      <c r="A6" s="44"/>
      <c r="B6" s="44"/>
      <c r="C6" s="44"/>
      <c r="D6" s="44"/>
      <c r="E6" s="42"/>
      <c r="F6" s="44"/>
      <c r="G6" s="44"/>
      <c r="H6" s="42"/>
      <c r="I6" s="44"/>
      <c r="J6" s="42"/>
      <c r="K6" s="42"/>
      <c r="L6" s="44"/>
      <c r="M6" s="51"/>
      <c r="N6" s="52"/>
      <c r="O6" s="52"/>
      <c r="P6" s="75">
        <v>44825</v>
      </c>
      <c r="Q6" s="58">
        <v>3.44</v>
      </c>
      <c r="R6" s="44"/>
      <c r="S6" s="75">
        <v>44825</v>
      </c>
      <c r="T6" s="58">
        <f t="shared" ref="T6:T16" si="1">(S6-S5)*$K$4*$U$4/360</f>
        <v>3.44</v>
      </c>
      <c r="U6" s="5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44855</v>
      </c>
      <c r="Q7" s="58">
        <v>3.33</v>
      </c>
      <c r="R7" s="44"/>
      <c r="S7" s="75">
        <v>44855</v>
      </c>
      <c r="T7" s="58">
        <f t="shared" si="1"/>
        <v>3.33</v>
      </c>
      <c r="U7" s="5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44886</v>
      </c>
      <c r="Q8" s="58">
        <v>3.44</v>
      </c>
      <c r="R8" s="44"/>
      <c r="S8" s="75">
        <v>44886</v>
      </c>
      <c r="T8" s="58">
        <f t="shared" si="1"/>
        <v>3.44</v>
      </c>
      <c r="U8" s="5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44916</v>
      </c>
      <c r="Q9" s="58">
        <v>3.33</v>
      </c>
      <c r="R9" s="44"/>
      <c r="S9" s="75">
        <v>44916</v>
      </c>
      <c r="T9" s="58">
        <f t="shared" si="1"/>
        <v>3.33</v>
      </c>
      <c r="U9" s="5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44947</v>
      </c>
      <c r="Q10" s="58">
        <v>3.44</v>
      </c>
      <c r="R10" s="44"/>
      <c r="S10" s="75">
        <v>44947</v>
      </c>
      <c r="T10" s="58">
        <f t="shared" si="1"/>
        <v>3.44</v>
      </c>
      <c r="U10" s="5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44978</v>
      </c>
      <c r="Q11" s="58">
        <v>3.44</v>
      </c>
      <c r="R11" s="44"/>
      <c r="S11" s="75">
        <v>44978</v>
      </c>
      <c r="T11" s="58">
        <f t="shared" si="1"/>
        <v>3.44</v>
      </c>
      <c r="U11" s="5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45006</v>
      </c>
      <c r="Q12" s="58">
        <v>3.11</v>
      </c>
      <c r="R12" s="44"/>
      <c r="S12" s="75">
        <v>45006</v>
      </c>
      <c r="T12" s="58">
        <f t="shared" si="1"/>
        <v>3.11</v>
      </c>
      <c r="U12" s="5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45037</v>
      </c>
      <c r="Q13" s="58">
        <v>3.44</v>
      </c>
      <c r="R13" s="44"/>
      <c r="S13" s="75">
        <v>45037</v>
      </c>
      <c r="T13" s="58">
        <f t="shared" si="1"/>
        <v>3.44</v>
      </c>
      <c r="U13" s="5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45067</v>
      </c>
      <c r="Q14" s="58">
        <v>3.33</v>
      </c>
      <c r="R14" s="44"/>
      <c r="S14" s="75">
        <v>45067</v>
      </c>
      <c r="T14" s="58">
        <f t="shared" si="1"/>
        <v>3.33</v>
      </c>
      <c r="U14" s="58">
        <f t="shared" si="0"/>
        <v>0</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45098</v>
      </c>
      <c r="Q15" s="58">
        <v>3.44</v>
      </c>
      <c r="R15" s="44"/>
      <c r="S15" s="75">
        <v>45098</v>
      </c>
      <c r="T15" s="58">
        <f t="shared" si="1"/>
        <v>3.44</v>
      </c>
      <c r="U15" s="58">
        <f t="shared" si="0"/>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45128</v>
      </c>
      <c r="Q16" s="58">
        <v>1.44</v>
      </c>
      <c r="R16" s="44"/>
      <c r="S16" s="75">
        <v>45128</v>
      </c>
      <c r="T16" s="58">
        <f t="shared" si="1"/>
        <v>3.33</v>
      </c>
      <c r="U16" s="58">
        <f t="shared" si="0"/>
        <v>1.89</v>
      </c>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53"/>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15</v>
      </c>
      <c r="S114" s="43"/>
      <c r="T114" s="43"/>
      <c r="U114" s="43"/>
      <c r="V114" s="43"/>
      <c r="W114" s="43"/>
      <c r="X114" s="71"/>
      <c r="Y114" s="43">
        <f>Y92+Y70+Y48+Y26++Y4</f>
        <v>15</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AD116"/>
  <sheetViews>
    <sheetView topLeftCell="O1" zoomScale="80" zoomScaleNormal="80" workbookViewId="0">
      <pane ySplit="3" topLeftCell="A12" activePane="bottomLeft" state="frozen"/>
      <selection pane="bottomLeft" activeCell="AB27" sqref="AB27"/>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成都海科机械设备制造有限公司审计明细表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12">
      <c r="A4" s="43">
        <v>1</v>
      </c>
      <c r="B4" s="43" t="s">
        <v>615</v>
      </c>
      <c r="C4" s="43" t="s">
        <v>1139</v>
      </c>
      <c r="D4" s="43" t="s">
        <v>1140</v>
      </c>
      <c r="E4" s="43" t="s">
        <v>146</v>
      </c>
      <c r="F4" s="43" t="s">
        <v>1141</v>
      </c>
      <c r="G4" s="43" t="s">
        <v>1142</v>
      </c>
      <c r="H4" s="71" t="s">
        <v>156</v>
      </c>
      <c r="I4" s="43" t="s">
        <v>1143</v>
      </c>
      <c r="J4" s="71" t="s">
        <v>294</v>
      </c>
      <c r="K4" s="71">
        <v>1300</v>
      </c>
      <c r="L4" s="43" t="s">
        <v>1144</v>
      </c>
      <c r="M4" s="49" t="s">
        <v>1145</v>
      </c>
      <c r="N4" s="50">
        <v>44887</v>
      </c>
      <c r="O4" s="50">
        <v>45291</v>
      </c>
      <c r="P4" s="43">
        <f>P5-N4</f>
        <v>28</v>
      </c>
      <c r="Q4" s="55">
        <f>SUM(Q5:Q25)</f>
        <v>60.87</v>
      </c>
      <c r="R4" s="55">
        <v>4.38</v>
      </c>
      <c r="S4" s="43"/>
      <c r="T4" s="55">
        <f>SUM(T5:T19)</f>
        <v>66.03</v>
      </c>
      <c r="U4" s="56">
        <v>4.65E-2</v>
      </c>
      <c r="V4" s="50"/>
      <c r="W4" s="43" t="s">
        <v>42</v>
      </c>
      <c r="X4" s="57">
        <v>0.02</v>
      </c>
      <c r="Y4" s="9">
        <f>ROUNDDOWN(IF((O4-N4+1)*K4*X4/365&gt;R4,R4,(O4-N4+1)*K4*X4/365),2)</f>
        <v>4.38</v>
      </c>
      <c r="Z4" s="55">
        <f>R4-Y4</f>
        <v>0</v>
      </c>
      <c r="AA4" s="55"/>
      <c r="AB4" s="43" t="s">
        <v>1146</v>
      </c>
      <c r="AD4" s="61">
        <f>(O4-N4+1)*K4*X4/365</f>
        <v>28.849299999999999</v>
      </c>
    </row>
    <row r="5" spans="1:30" s="35" customFormat="1" ht="28">
      <c r="A5" s="44"/>
      <c r="B5" s="44"/>
      <c r="C5" s="44"/>
      <c r="D5" s="44"/>
      <c r="E5" s="44"/>
      <c r="F5" s="44"/>
      <c r="G5" s="44"/>
      <c r="H5" s="42"/>
      <c r="I5" s="44"/>
      <c r="J5" s="42"/>
      <c r="K5" s="42"/>
      <c r="L5" s="44"/>
      <c r="M5" s="51" t="s">
        <v>1147</v>
      </c>
      <c r="N5" s="52"/>
      <c r="O5" s="50">
        <v>45616</v>
      </c>
      <c r="P5" s="75">
        <v>44915</v>
      </c>
      <c r="Q5" s="58">
        <v>4.26</v>
      </c>
      <c r="R5" s="44"/>
      <c r="S5" s="75">
        <v>44915</v>
      </c>
      <c r="T5" s="58">
        <f>(S5-N4)/360*$U$4*$K$4</f>
        <v>4.7</v>
      </c>
      <c r="U5" s="58">
        <f>T5-Q5</f>
        <v>0.44</v>
      </c>
      <c r="V5" s="52"/>
      <c r="W5" s="44"/>
      <c r="X5" s="44"/>
      <c r="Y5" s="44">
        <f>ROUNDDOWN((V5-N4)*K4*X4/365,2)</f>
        <v>-3197.43</v>
      </c>
      <c r="Z5" s="44"/>
      <c r="AA5" s="44"/>
      <c r="AB5" s="44"/>
    </row>
    <row r="6" spans="1:30" s="35" customFormat="1">
      <c r="A6" s="44"/>
      <c r="B6" s="44"/>
      <c r="C6" s="44"/>
      <c r="D6" s="44"/>
      <c r="E6" s="44"/>
      <c r="F6" s="44"/>
      <c r="G6" s="44"/>
      <c r="H6" s="42"/>
      <c r="I6" s="44"/>
      <c r="J6" s="42"/>
      <c r="K6" s="42"/>
      <c r="L6" s="44"/>
      <c r="M6" s="51"/>
      <c r="N6" s="52"/>
      <c r="O6" s="52"/>
      <c r="P6" s="75">
        <v>44946</v>
      </c>
      <c r="Q6" s="58">
        <v>5.21</v>
      </c>
      <c r="R6" s="44"/>
      <c r="S6" s="75">
        <f>P6</f>
        <v>44946</v>
      </c>
      <c r="T6" s="25">
        <f>(S6-S5)*$K$4*$U$4/360</f>
        <v>5.21</v>
      </c>
      <c r="U6" s="58"/>
      <c r="V6" s="44"/>
      <c r="W6" s="44"/>
      <c r="X6" s="44"/>
      <c r="Y6" s="44">
        <f>ROUNDDOWN((O4-V5+1)*(K4-W5)*X4/365,2)</f>
        <v>3226.27</v>
      </c>
      <c r="Z6" s="44"/>
      <c r="AA6" s="44"/>
      <c r="AB6" s="44"/>
    </row>
    <row r="7" spans="1:30" s="35" customFormat="1">
      <c r="A7" s="44"/>
      <c r="B7" s="44"/>
      <c r="C7" s="44"/>
      <c r="D7" s="44"/>
      <c r="E7" s="44"/>
      <c r="F7" s="44"/>
      <c r="G7" s="44"/>
      <c r="H7" s="42"/>
      <c r="I7" s="44"/>
      <c r="J7" s="42"/>
      <c r="K7" s="42"/>
      <c r="L7" s="44"/>
      <c r="M7" s="51"/>
      <c r="N7" s="52"/>
      <c r="O7" s="52"/>
      <c r="P7" s="75">
        <v>44977</v>
      </c>
      <c r="Q7" s="58">
        <v>5.21</v>
      </c>
      <c r="R7" s="44"/>
      <c r="S7" s="75">
        <f t="shared" ref="S7:S17" si="0">P7</f>
        <v>44977</v>
      </c>
      <c r="T7" s="58">
        <f t="shared" ref="T7:T17" si="1">(S7-S6)*$K$4*$U$4/360</f>
        <v>5.21</v>
      </c>
      <c r="U7" s="58">
        <f>T7-Q7</f>
        <v>0</v>
      </c>
      <c r="V7" s="44"/>
      <c r="W7" s="44"/>
      <c r="X7" s="44"/>
      <c r="Y7" s="44"/>
      <c r="Z7" s="44"/>
      <c r="AA7" s="44"/>
      <c r="AB7" s="44"/>
    </row>
    <row r="8" spans="1:30" s="35" customFormat="1">
      <c r="A8" s="44"/>
      <c r="B8" s="44"/>
      <c r="C8" s="44"/>
      <c r="D8" s="44"/>
      <c r="E8" s="44"/>
      <c r="F8" s="44"/>
      <c r="G8" s="44"/>
      <c r="H8" s="42"/>
      <c r="I8" s="44"/>
      <c r="J8" s="42"/>
      <c r="K8" s="42"/>
      <c r="L8" s="44"/>
      <c r="M8" s="51"/>
      <c r="N8" s="52"/>
      <c r="O8" s="52"/>
      <c r="P8" s="75">
        <v>45005</v>
      </c>
      <c r="Q8" s="58">
        <v>4.7</v>
      </c>
      <c r="R8" s="44"/>
      <c r="S8" s="75">
        <f t="shared" si="0"/>
        <v>45005</v>
      </c>
      <c r="T8" s="58">
        <f t="shared" si="1"/>
        <v>4.7</v>
      </c>
      <c r="U8" s="58">
        <f>T8-Q8</f>
        <v>0</v>
      </c>
      <c r="V8" s="44"/>
      <c r="W8" s="44"/>
      <c r="X8" s="44"/>
      <c r="Y8" s="44"/>
      <c r="Z8" s="44"/>
      <c r="AA8" s="44"/>
      <c r="AB8" s="44"/>
    </row>
    <row r="9" spans="1:30" s="35" customFormat="1">
      <c r="A9" s="44"/>
      <c r="B9" s="44"/>
      <c r="C9" s="44"/>
      <c r="D9" s="44"/>
      <c r="E9" s="44"/>
      <c r="F9" s="44"/>
      <c r="G9" s="44"/>
      <c r="H9" s="42"/>
      <c r="I9" s="44"/>
      <c r="J9" s="42"/>
      <c r="K9" s="42"/>
      <c r="L9" s="44"/>
      <c r="M9" s="51"/>
      <c r="N9" s="52"/>
      <c r="O9" s="52"/>
      <c r="P9" s="75">
        <v>45036</v>
      </c>
      <c r="Q9" s="58">
        <v>5.21</v>
      </c>
      <c r="R9" s="44"/>
      <c r="S9" s="75">
        <f t="shared" si="0"/>
        <v>45036</v>
      </c>
      <c r="T9" s="58">
        <f t="shared" si="1"/>
        <v>5.21</v>
      </c>
      <c r="U9" s="58">
        <f>T9-Q9</f>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52"/>
      <c r="P10" s="75">
        <v>45066</v>
      </c>
      <c r="Q10" s="58">
        <v>5.04</v>
      </c>
      <c r="R10" s="44"/>
      <c r="S10" s="75">
        <f t="shared" si="0"/>
        <v>45066</v>
      </c>
      <c r="T10" s="58">
        <f t="shared" si="1"/>
        <v>5.04</v>
      </c>
      <c r="U10" s="58">
        <f>T10-Q10</f>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45097</v>
      </c>
      <c r="Q11" s="58">
        <v>4.8</v>
      </c>
      <c r="R11" s="44"/>
      <c r="S11" s="75">
        <f t="shared" si="0"/>
        <v>45097</v>
      </c>
      <c r="T11" s="58">
        <f t="shared" si="1"/>
        <v>5.21</v>
      </c>
      <c r="U11" s="58">
        <f>T11-Q11</f>
        <v>0.41</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45127</v>
      </c>
      <c r="Q12" s="58">
        <v>4.6500000000000004</v>
      </c>
      <c r="R12" s="44"/>
      <c r="S12" s="75">
        <f t="shared" si="0"/>
        <v>45127</v>
      </c>
      <c r="T12" s="58">
        <f t="shared" si="1"/>
        <v>5.04</v>
      </c>
      <c r="U12" s="58">
        <f t="shared" ref="U12:U17" si="2">T12-Q12</f>
        <v>0.39</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45158</v>
      </c>
      <c r="Q13" s="58">
        <v>4.8099999999999996</v>
      </c>
      <c r="R13" s="44"/>
      <c r="S13" s="75">
        <f t="shared" si="0"/>
        <v>45158</v>
      </c>
      <c r="T13" s="58">
        <f t="shared" si="1"/>
        <v>5.21</v>
      </c>
      <c r="U13" s="58">
        <f t="shared" si="2"/>
        <v>0.4</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45189</v>
      </c>
      <c r="Q14" s="58">
        <v>4.8099999999999996</v>
      </c>
      <c r="R14" s="44"/>
      <c r="S14" s="75">
        <f t="shared" si="0"/>
        <v>45189</v>
      </c>
      <c r="T14" s="58">
        <f t="shared" si="1"/>
        <v>5.21</v>
      </c>
      <c r="U14" s="58">
        <f t="shared" si="2"/>
        <v>0.4</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45219</v>
      </c>
      <c r="Q15" s="58">
        <v>4.6500000000000004</v>
      </c>
      <c r="R15" s="44"/>
      <c r="S15" s="75">
        <f t="shared" si="0"/>
        <v>45219</v>
      </c>
      <c r="T15" s="58">
        <f t="shared" si="1"/>
        <v>5.04</v>
      </c>
      <c r="U15" s="58">
        <f t="shared" si="2"/>
        <v>0.39</v>
      </c>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v>45250</v>
      </c>
      <c r="Q16" s="58">
        <v>4.8099999999999996</v>
      </c>
      <c r="R16" s="44"/>
      <c r="S16" s="75">
        <f t="shared" si="0"/>
        <v>45250</v>
      </c>
      <c r="T16" s="58">
        <f t="shared" si="1"/>
        <v>5.21</v>
      </c>
      <c r="U16" s="58">
        <f t="shared" si="2"/>
        <v>0.4</v>
      </c>
      <c r="V16" s="44"/>
      <c r="W16" s="44"/>
      <c r="X16" s="44"/>
      <c r="Y16" s="44"/>
      <c r="Z16" s="44"/>
      <c r="AA16" s="44"/>
      <c r="AB16" s="44"/>
    </row>
    <row r="17" spans="1:28" s="35" customFormat="1">
      <c r="A17" s="44"/>
      <c r="B17" s="44"/>
      <c r="C17" s="44"/>
      <c r="D17" s="44"/>
      <c r="E17" s="44"/>
      <c r="F17" s="44"/>
      <c r="G17" s="44"/>
      <c r="H17" s="42"/>
      <c r="I17" s="44"/>
      <c r="J17" s="42"/>
      <c r="K17" s="42"/>
      <c r="L17" s="44"/>
      <c r="M17" s="51"/>
      <c r="N17" s="52"/>
      <c r="O17" s="52"/>
      <c r="P17" s="75">
        <v>45280</v>
      </c>
      <c r="Q17" s="58">
        <v>2.71</v>
      </c>
      <c r="R17" s="44"/>
      <c r="S17" s="75">
        <f t="shared" si="0"/>
        <v>45280</v>
      </c>
      <c r="T17" s="58">
        <f t="shared" si="1"/>
        <v>5.04</v>
      </c>
      <c r="U17" s="58">
        <f t="shared" si="2"/>
        <v>2.33</v>
      </c>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75"/>
      <c r="T18" s="58"/>
      <c r="U18" s="58"/>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75"/>
      <c r="T19" s="58"/>
      <c r="U19" s="58"/>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615</v>
      </c>
      <c r="C26" s="43" t="s">
        <v>1139</v>
      </c>
      <c r="D26" s="43" t="s">
        <v>1140</v>
      </c>
      <c r="E26" s="43" t="s">
        <v>146</v>
      </c>
      <c r="F26" s="43" t="s">
        <v>1141</v>
      </c>
      <c r="G26" s="43" t="s">
        <v>1142</v>
      </c>
      <c r="H26" s="71" t="s">
        <v>156</v>
      </c>
      <c r="I26" s="43" t="s">
        <v>1143</v>
      </c>
      <c r="J26" s="71" t="s">
        <v>294</v>
      </c>
      <c r="K26" s="71">
        <v>700</v>
      </c>
      <c r="L26" s="43" t="s">
        <v>1144</v>
      </c>
      <c r="M26" s="49" t="s">
        <v>1148</v>
      </c>
      <c r="N26" s="50">
        <v>44931</v>
      </c>
      <c r="O26" s="50">
        <v>45291</v>
      </c>
      <c r="P26" s="43">
        <f>P38-N26</f>
        <v>-44931</v>
      </c>
      <c r="Q26" s="55">
        <f>SUM(Q27:Q38)</f>
        <v>0</v>
      </c>
      <c r="R26" s="43">
        <v>38.42</v>
      </c>
      <c r="S26" s="43"/>
      <c r="T26" s="84">
        <f>SUM(T27:T38)</f>
        <v>0</v>
      </c>
      <c r="U26" s="56">
        <v>4.65E-2</v>
      </c>
      <c r="V26" s="50"/>
      <c r="W26" s="43" t="s">
        <v>42</v>
      </c>
      <c r="X26" s="57">
        <v>1.4999999999999999E-2</v>
      </c>
      <c r="Y26" s="43">
        <v>0</v>
      </c>
      <c r="Z26" s="43">
        <f>R26-Y26</f>
        <v>38.42</v>
      </c>
      <c r="AA26" s="43" t="s">
        <v>1149</v>
      </c>
      <c r="AB26" s="43" t="s">
        <v>1150</v>
      </c>
    </row>
    <row r="27" spans="1:28" s="35" customFormat="1">
      <c r="A27" s="44"/>
      <c r="B27" s="44"/>
      <c r="C27" s="44"/>
      <c r="D27" s="44"/>
      <c r="E27" s="44"/>
      <c r="F27" s="44"/>
      <c r="G27" s="44"/>
      <c r="H27" s="42"/>
      <c r="I27" s="44"/>
      <c r="J27" s="42"/>
      <c r="K27" s="42"/>
      <c r="L27" s="44"/>
      <c r="M27" s="51"/>
      <c r="N27" s="52"/>
      <c r="O27" s="50">
        <v>45660</v>
      </c>
      <c r="P27" s="75"/>
      <c r="Q27" s="58"/>
      <c r="R27" s="44"/>
      <c r="S27" s="75"/>
      <c r="T27" s="58"/>
      <c r="U27" s="58"/>
      <c r="V27" s="52"/>
      <c r="W27" s="44"/>
      <c r="X27" s="44"/>
      <c r="Y27" s="62">
        <f>ROUNDUP((V27-N26)*K26*X26/365,2)</f>
        <v>-1292.54</v>
      </c>
      <c r="Z27" s="44"/>
      <c r="AA27" s="44"/>
      <c r="AB27" s="44"/>
    </row>
    <row r="28" spans="1:28" s="35" customFormat="1">
      <c r="A28" s="44"/>
      <c r="B28" s="44"/>
      <c r="C28" s="44"/>
      <c r="D28" s="44"/>
      <c r="E28" s="44"/>
      <c r="F28" s="44"/>
      <c r="G28" s="44"/>
      <c r="H28" s="42"/>
      <c r="I28" s="44"/>
      <c r="J28" s="42"/>
      <c r="K28" s="42"/>
      <c r="L28" s="44"/>
      <c r="M28" s="51"/>
      <c r="N28" s="52"/>
      <c r="O28" s="52"/>
      <c r="P28" s="75"/>
      <c r="Q28" s="58"/>
      <c r="R28" s="44"/>
      <c r="S28" s="75"/>
      <c r="T28" s="58"/>
      <c r="U28" s="58"/>
      <c r="V28" s="44"/>
      <c r="W28" s="44"/>
      <c r="X28" s="44"/>
      <c r="Y28" s="62">
        <f>ROUNDUP((O26-V27+1)*(K26-W27)*X26/365,2)</f>
        <v>1302.93</v>
      </c>
      <c r="Z28" s="44"/>
      <c r="AA28" s="44"/>
      <c r="AB28" s="44"/>
    </row>
    <row r="29" spans="1:28" s="35" customFormat="1">
      <c r="A29" s="44"/>
      <c r="B29" s="44"/>
      <c r="C29" s="44"/>
      <c r="D29" s="44"/>
      <c r="E29" s="44"/>
      <c r="F29" s="44"/>
      <c r="G29" s="44"/>
      <c r="H29" s="42"/>
      <c r="I29" s="44"/>
      <c r="J29" s="42"/>
      <c r="K29" s="42"/>
      <c r="L29" s="44"/>
      <c r="M29" s="51"/>
      <c r="N29" s="52"/>
      <c r="O29" s="52"/>
      <c r="P29" s="75"/>
      <c r="Q29" s="58"/>
      <c r="R29" s="44"/>
      <c r="S29" s="75"/>
      <c r="T29" s="58"/>
      <c r="U29" s="58"/>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c r="Q30" s="58"/>
      <c r="R30" s="44"/>
      <c r="S30" s="75"/>
      <c r="T30" s="58"/>
      <c r="U30" s="58"/>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c r="Q31" s="58"/>
      <c r="R31" s="44"/>
      <c r="S31" s="75"/>
      <c r="T31" s="58"/>
      <c r="U31" s="58"/>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c r="Q32" s="58"/>
      <c r="R32" s="44"/>
      <c r="S32" s="75"/>
      <c r="T32" s="58"/>
      <c r="U32" s="58"/>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c r="Q33" s="58"/>
      <c r="R33" s="44"/>
      <c r="S33" s="75"/>
      <c r="T33" s="58"/>
      <c r="U33" s="78"/>
      <c r="V33" s="44"/>
      <c r="W33" s="44"/>
      <c r="X33" s="44"/>
      <c r="Y33" s="44"/>
      <c r="Z33" s="44"/>
      <c r="AA33" s="44"/>
      <c r="AB33" s="44"/>
    </row>
    <row r="34" spans="1:28" s="35" customFormat="1">
      <c r="A34" s="44"/>
      <c r="B34" s="44"/>
      <c r="C34" s="44"/>
      <c r="D34" s="44"/>
      <c r="E34" s="44"/>
      <c r="F34" s="44"/>
      <c r="G34" s="44"/>
      <c r="H34" s="42"/>
      <c r="I34" s="44"/>
      <c r="J34" s="42"/>
      <c r="K34" s="42"/>
      <c r="L34" s="44"/>
      <c r="M34" s="51"/>
      <c r="N34" s="52"/>
      <c r="O34" s="52"/>
      <c r="P34" s="75"/>
      <c r="Q34" s="58"/>
      <c r="R34" s="44"/>
      <c r="S34" s="75"/>
      <c r="T34" s="58"/>
      <c r="U34" s="78"/>
      <c r="V34" s="44"/>
      <c r="W34" s="44"/>
      <c r="X34" s="44"/>
      <c r="Y34" s="44"/>
      <c r="Z34" s="44"/>
      <c r="AA34" s="44"/>
      <c r="AB34" s="44"/>
    </row>
    <row r="35" spans="1:28" s="35" customFormat="1">
      <c r="A35" s="44"/>
      <c r="B35" s="44"/>
      <c r="C35" s="44"/>
      <c r="D35" s="44"/>
      <c r="E35" s="44"/>
      <c r="F35" s="44"/>
      <c r="G35" s="44"/>
      <c r="H35" s="42"/>
      <c r="I35" s="44"/>
      <c r="J35" s="42"/>
      <c r="K35" s="42"/>
      <c r="L35" s="44"/>
      <c r="M35" s="51"/>
      <c r="N35" s="52"/>
      <c r="O35" s="52"/>
      <c r="P35" s="75"/>
      <c r="Q35" s="58"/>
      <c r="R35" s="44"/>
      <c r="S35" s="75"/>
      <c r="T35" s="58"/>
      <c r="U35" s="78"/>
      <c r="V35" s="44"/>
      <c r="W35" s="44"/>
      <c r="X35" s="44"/>
      <c r="Y35" s="44"/>
      <c r="Z35" s="44"/>
      <c r="AA35" s="44"/>
      <c r="AB35" s="44"/>
    </row>
    <row r="36" spans="1:28" s="35" customFormat="1">
      <c r="A36" s="44"/>
      <c r="B36" s="44"/>
      <c r="C36" s="44"/>
      <c r="D36" s="44"/>
      <c r="E36" s="44"/>
      <c r="F36" s="44"/>
      <c r="G36" s="44"/>
      <c r="H36" s="42"/>
      <c r="I36" s="44"/>
      <c r="J36" s="42"/>
      <c r="K36" s="42"/>
      <c r="L36" s="44"/>
      <c r="M36" s="51"/>
      <c r="N36" s="52"/>
      <c r="O36" s="52"/>
      <c r="P36" s="75"/>
      <c r="Q36" s="58"/>
      <c r="R36" s="44"/>
      <c r="S36" s="75"/>
      <c r="T36" s="58"/>
      <c r="U36" s="58"/>
      <c r="V36" s="44"/>
      <c r="W36" s="44"/>
      <c r="X36" s="44"/>
      <c r="Y36" s="44"/>
      <c r="Z36" s="44"/>
      <c r="AA36" s="44"/>
      <c r="AB36" s="44"/>
    </row>
    <row r="37" spans="1:28" s="35" customFormat="1">
      <c r="A37" s="44"/>
      <c r="B37" s="44"/>
      <c r="C37" s="44"/>
      <c r="D37" s="44"/>
      <c r="E37" s="44"/>
      <c r="F37" s="44"/>
      <c r="G37" s="44"/>
      <c r="H37" s="42"/>
      <c r="I37" s="44"/>
      <c r="J37" s="42"/>
      <c r="K37" s="42"/>
      <c r="L37" s="44"/>
      <c r="M37" s="51"/>
      <c r="N37" s="52"/>
      <c r="O37" s="52"/>
      <c r="P37" s="75"/>
      <c r="Q37" s="58"/>
      <c r="R37" s="44"/>
      <c r="S37" s="75"/>
      <c r="T37" s="58"/>
      <c r="U37" s="58"/>
      <c r="V37" s="44"/>
      <c r="W37" s="44"/>
      <c r="X37" s="44"/>
      <c r="Y37" s="44"/>
      <c r="Z37" s="44"/>
      <c r="AA37" s="44"/>
      <c r="AB37" s="44"/>
    </row>
    <row r="38" spans="1:28" s="35" customFormat="1">
      <c r="A38" s="44"/>
      <c r="B38" s="44"/>
      <c r="C38" s="44"/>
      <c r="D38" s="44"/>
      <c r="E38" s="44"/>
      <c r="F38" s="44"/>
      <c r="G38" s="44"/>
      <c r="H38" s="42"/>
      <c r="I38" s="44"/>
      <c r="J38" s="42"/>
      <c r="K38" s="42"/>
      <c r="L38" s="44"/>
      <c r="M38" s="51"/>
      <c r="N38" s="52"/>
      <c r="O38" s="52"/>
      <c r="P38" s="75"/>
      <c r="Q38" s="58"/>
      <c r="R38" s="44"/>
      <c r="S38" s="75"/>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71"/>
      <c r="I48" s="43"/>
      <c r="J48" s="71"/>
      <c r="K48" s="71"/>
      <c r="L48" s="43"/>
      <c r="M48" s="49"/>
      <c r="N48" s="50"/>
      <c r="O48" s="50"/>
      <c r="P48" s="76"/>
      <c r="Q48" s="55">
        <f>SUM(Q49:Q69)</f>
        <v>0</v>
      </c>
      <c r="R48" s="43"/>
      <c r="S48" s="43"/>
      <c r="T48" s="43"/>
      <c r="U48" s="56"/>
      <c r="V48" s="50"/>
      <c r="W48" s="43"/>
      <c r="X48" s="57"/>
      <c r="Y48" s="43"/>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2000</v>
      </c>
      <c r="L114" s="43"/>
      <c r="M114" s="49"/>
      <c r="N114" s="50"/>
      <c r="O114" s="50"/>
      <c r="P114" s="76"/>
      <c r="Q114" s="43"/>
      <c r="R114" s="43">
        <f>R92+R70+R48+R26++R4</f>
        <v>42.8</v>
      </c>
      <c r="S114" s="43"/>
      <c r="T114" s="43"/>
      <c r="U114" s="43"/>
      <c r="V114" s="43"/>
      <c r="W114" s="43"/>
      <c r="X114" s="43"/>
      <c r="Y114" s="43">
        <f>Y92+Y70+Y48+Y26++Y4</f>
        <v>4.38</v>
      </c>
      <c r="Z114" s="43"/>
      <c r="AA114" s="43"/>
      <c r="AB114" s="43"/>
    </row>
    <row r="115" spans="1:28">
      <c r="I115" s="36" t="s">
        <v>49</v>
      </c>
      <c r="K115" s="72">
        <f>IF(K114&gt;3000,K116,K114)</f>
        <v>2000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116"/>
  <sheetViews>
    <sheetView topLeftCell="G1" zoomScale="70" zoomScaleNormal="70" workbookViewId="0">
      <pane ySplit="3" topLeftCell="A4" activePane="bottomLeft" state="frozen"/>
      <selection pane="bottomLeft" activeCell="Q118" sqref="Q118"/>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成都国恒空间技术工程股份有限公司审计明细表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163</v>
      </c>
      <c r="C4" s="9" t="s">
        <v>52</v>
      </c>
      <c r="D4" s="9" t="s">
        <v>164</v>
      </c>
      <c r="E4" s="9" t="s">
        <v>165</v>
      </c>
      <c r="F4" s="9" t="s">
        <v>35</v>
      </c>
      <c r="G4" s="9" t="s">
        <v>166</v>
      </c>
      <c r="H4" s="9" t="s">
        <v>71</v>
      </c>
      <c r="I4" s="9" t="s">
        <v>167</v>
      </c>
      <c r="J4" s="9" t="s">
        <v>168</v>
      </c>
      <c r="K4" s="9">
        <v>1000</v>
      </c>
      <c r="L4" s="9" t="s">
        <v>169</v>
      </c>
      <c r="M4" s="20" t="s">
        <v>170</v>
      </c>
      <c r="N4" s="16">
        <v>45121</v>
      </c>
      <c r="O4" s="16">
        <v>45291</v>
      </c>
      <c r="P4" s="9">
        <f>P10-N4</f>
        <v>191</v>
      </c>
      <c r="Q4" s="22">
        <f>SUM(Q5:Q25)</f>
        <v>19.100000000000001</v>
      </c>
      <c r="R4" s="22">
        <v>7.03</v>
      </c>
      <c r="S4" s="9"/>
      <c r="T4" s="22">
        <f>SUM(T5:T25)</f>
        <v>19.100000000000001</v>
      </c>
      <c r="U4" s="23">
        <v>3.5999999999999997E-2</v>
      </c>
      <c r="V4" s="16"/>
      <c r="W4" s="9" t="s">
        <v>42</v>
      </c>
      <c r="X4" s="24">
        <v>1.4999999999999999E-2</v>
      </c>
      <c r="Y4" s="9">
        <f>ROUNDDOWN(IF((O4-N4+1)*K4*X4/365&gt;R4,R4,(O4-N4+1)*K4*X4/365),2)</f>
        <v>7.02</v>
      </c>
      <c r="Z4" s="22">
        <f>R4-Y4</f>
        <v>0.01</v>
      </c>
      <c r="AA4" s="22" t="s">
        <v>43</v>
      </c>
      <c r="AB4" s="9" t="s">
        <v>61</v>
      </c>
      <c r="AD4" s="28">
        <f>(O4-N4+1)*K4*X4/365</f>
        <v>7.0274000000000001</v>
      </c>
    </row>
    <row r="5" spans="1:30" s="2" customFormat="1">
      <c r="A5" s="10"/>
      <c r="B5" s="10"/>
      <c r="C5" s="10"/>
      <c r="D5" s="10"/>
      <c r="E5" s="10"/>
      <c r="F5" s="10"/>
      <c r="G5" s="10"/>
      <c r="H5" s="10"/>
      <c r="I5" s="10"/>
      <c r="J5" s="10"/>
      <c r="K5" s="10"/>
      <c r="L5" s="10"/>
      <c r="M5" s="17"/>
      <c r="N5" s="18"/>
      <c r="O5" s="16">
        <v>45486</v>
      </c>
      <c r="P5" s="19">
        <v>45159</v>
      </c>
      <c r="Q5" s="25">
        <v>3.8</v>
      </c>
      <c r="R5" s="10"/>
      <c r="S5" s="19">
        <f>P5</f>
        <v>45159</v>
      </c>
      <c r="T5" s="25">
        <f>(S5-N4)/360*$U$4*$K$4</f>
        <v>3.8</v>
      </c>
      <c r="U5" s="25">
        <f>T5-Q5</f>
        <v>0</v>
      </c>
      <c r="V5" s="18"/>
      <c r="W5" s="10"/>
      <c r="X5" s="10"/>
      <c r="Y5" s="10">
        <f>ROUNDDOWN((V5-N4)*K4*X4/365,2)</f>
        <v>-1854.28</v>
      </c>
      <c r="Z5" s="10"/>
      <c r="AA5" s="10"/>
      <c r="AB5" s="10"/>
    </row>
    <row r="6" spans="1:30" s="2" customFormat="1">
      <c r="A6" s="10"/>
      <c r="B6" s="10"/>
      <c r="C6" s="10"/>
      <c r="D6" s="10"/>
      <c r="E6" s="10"/>
      <c r="F6" s="10"/>
      <c r="G6" s="10"/>
      <c r="H6" s="10"/>
      <c r="I6" s="10"/>
      <c r="J6" s="10"/>
      <c r="K6" s="10"/>
      <c r="L6" s="10"/>
      <c r="M6" s="17"/>
      <c r="N6" s="18"/>
      <c r="O6" s="18"/>
      <c r="P6" s="19">
        <v>45190</v>
      </c>
      <c r="Q6" s="25">
        <v>3.1</v>
      </c>
      <c r="R6" s="10"/>
      <c r="S6" s="19">
        <f t="shared" ref="S6:S10" si="0">P6</f>
        <v>45190</v>
      </c>
      <c r="T6" s="25">
        <f>(S6-S5)*$K$4*$U$4/360</f>
        <v>3.1</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45220</v>
      </c>
      <c r="Q7" s="25">
        <v>3</v>
      </c>
      <c r="R7" s="10"/>
      <c r="S7" s="19">
        <f t="shared" si="0"/>
        <v>45220</v>
      </c>
      <c r="T7" s="25">
        <f t="shared" ref="T7:T10" si="1">(S7-S6)*$K$4*$U$4/360</f>
        <v>3</v>
      </c>
      <c r="U7" s="25">
        <f t="shared" ref="U7:U10"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45251</v>
      </c>
      <c r="Q8" s="25">
        <v>3.1</v>
      </c>
      <c r="R8" s="10"/>
      <c r="S8" s="19">
        <f t="shared" si="0"/>
        <v>45251</v>
      </c>
      <c r="T8" s="25">
        <f t="shared" si="1"/>
        <v>3.1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45281</v>
      </c>
      <c r="Q9" s="25">
        <v>3</v>
      </c>
      <c r="R9" s="10"/>
      <c r="S9" s="19">
        <f t="shared" si="0"/>
        <v>45281</v>
      </c>
      <c r="T9" s="25">
        <f t="shared" si="1"/>
        <v>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45312</v>
      </c>
      <c r="Q10" s="114">
        <v>3.1</v>
      </c>
      <c r="R10" s="10"/>
      <c r="S10" s="19">
        <f t="shared" si="0"/>
        <v>45312</v>
      </c>
      <c r="T10" s="25">
        <f t="shared" si="1"/>
        <v>3.1</v>
      </c>
      <c r="U10" s="25">
        <f t="shared" si="2"/>
        <v>0</v>
      </c>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成都国恒空间技术工程股份有限公司</v>
      </c>
      <c r="C26" s="9" t="str">
        <f t="shared" ref="C26:G26" si="3">C4</f>
        <v>成都市市场监督管理局</v>
      </c>
      <c r="D26" s="9" t="str">
        <f t="shared" si="3"/>
        <v>91510100790008903N</v>
      </c>
      <c r="E26" s="9" t="str">
        <f t="shared" si="3"/>
        <v>小型企业</v>
      </c>
      <c r="F26" s="9" t="str">
        <f t="shared" si="3"/>
        <v>国家税务总局成都高新技术产业开发区税务局</v>
      </c>
      <c r="G26" s="9" t="str">
        <f t="shared" si="3"/>
        <v>633322769中国民生银行股份有限公司成都分行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成都国恒空间技术工程股份有限公司</v>
      </c>
      <c r="C48" s="9" t="str">
        <f t="shared" ref="C48:G48" si="7">C26</f>
        <v>成都市市场监督管理局</v>
      </c>
      <c r="D48" s="9" t="str">
        <f t="shared" si="7"/>
        <v>91510100790008903N</v>
      </c>
      <c r="E48" s="9" t="str">
        <f t="shared" si="7"/>
        <v>小型企业</v>
      </c>
      <c r="F48" s="9" t="str">
        <f t="shared" si="7"/>
        <v>国家税务总局成都高新技术产业开发区税务局</v>
      </c>
      <c r="G48" s="9" t="str">
        <f t="shared" si="7"/>
        <v>633322769中国民生银行股份有限公司成都分行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成都国恒空间技术工程股份有限公司</v>
      </c>
      <c r="C70" s="9" t="str">
        <f t="shared" ref="C70:G70" si="10">C48</f>
        <v>成都市市场监督管理局</v>
      </c>
      <c r="D70" s="9" t="str">
        <f t="shared" si="10"/>
        <v>91510100790008903N</v>
      </c>
      <c r="E70" s="9" t="str">
        <f t="shared" si="10"/>
        <v>小型企业</v>
      </c>
      <c r="F70" s="9" t="str">
        <f t="shared" si="10"/>
        <v>国家税务总局成都高新技术产业开发区税务局</v>
      </c>
      <c r="G70" s="9" t="str">
        <f t="shared" si="10"/>
        <v>633322769中国民生银行股份有限公司成都分行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成都国恒空间技术工程股份有限公司</v>
      </c>
      <c r="C92" s="9" t="str">
        <f t="shared" ref="C92:G92" si="11">C70</f>
        <v>成都市市场监督管理局</v>
      </c>
      <c r="D92" s="9" t="str">
        <f t="shared" si="11"/>
        <v>91510100790008903N</v>
      </c>
      <c r="E92" s="9" t="str">
        <f t="shared" si="11"/>
        <v>小型企业</v>
      </c>
      <c r="F92" s="9" t="str">
        <f t="shared" si="11"/>
        <v>国家税务总局成都高新技术产业开发区税务局</v>
      </c>
      <c r="G92" s="9" t="str">
        <f t="shared" si="11"/>
        <v>633322769中国民生银行股份有限公司成都分行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22">
        <f>R92+R70+R48+R26+R4</f>
        <v>7.03</v>
      </c>
      <c r="S114" s="9"/>
      <c r="T114" s="9"/>
      <c r="U114" s="9"/>
      <c r="V114" s="9"/>
      <c r="W114" s="9"/>
      <c r="X114" s="9"/>
      <c r="Y114" s="9">
        <f>Y92+Y70+Y48+Y26++Y4</f>
        <v>7.02</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AD116"/>
  <sheetViews>
    <sheetView topLeftCell="K1" zoomScale="80" zoomScaleNormal="80" workbookViewId="0">
      <pane ySplit="3" topLeftCell="A4" activePane="bottomLeft" state="frozen"/>
      <selection pane="bottomLeft" activeCell="X27" sqref="X27"/>
    </sheetView>
  </sheetViews>
  <sheetFormatPr defaultColWidth="9" defaultRowHeight="14"/>
  <cols>
    <col min="1" max="6" width="9" style="36"/>
    <col min="7" max="7" width="9" style="36" customWidth="1"/>
    <col min="8"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成都飞亚航空设备应用研究所有限公司审计明细表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50.15"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32" customHeight="1">
      <c r="A4" s="43">
        <v>1</v>
      </c>
      <c r="B4" s="43" t="s">
        <v>608</v>
      </c>
      <c r="C4" s="43" t="s">
        <v>1139</v>
      </c>
      <c r="D4" s="43" t="s">
        <v>1151</v>
      </c>
      <c r="E4" s="43" t="s">
        <v>34</v>
      </c>
      <c r="F4" s="43" t="s">
        <v>1152</v>
      </c>
      <c r="G4" s="43" t="s">
        <v>1153</v>
      </c>
      <c r="H4" s="43" t="s">
        <v>430</v>
      </c>
      <c r="I4" s="43" t="s">
        <v>1154</v>
      </c>
      <c r="J4" s="71" t="s">
        <v>1155</v>
      </c>
      <c r="K4" s="71">
        <v>1500</v>
      </c>
      <c r="L4" s="43" t="s">
        <v>1156</v>
      </c>
      <c r="M4" s="49" t="s">
        <v>1157</v>
      </c>
      <c r="N4" s="50">
        <v>44991</v>
      </c>
      <c r="O4" s="50">
        <v>45291</v>
      </c>
      <c r="P4" s="43">
        <f>P15-N4</f>
        <v>320</v>
      </c>
      <c r="Q4" s="55">
        <f>SUM(Q5:Q25)</f>
        <v>55.12</v>
      </c>
      <c r="R4" s="55">
        <v>26.3</v>
      </c>
      <c r="S4" s="43"/>
      <c r="T4" s="55">
        <f>SUM(T5:T25)</f>
        <v>56.03</v>
      </c>
      <c r="U4" s="56">
        <v>4.2000000000000003E-2</v>
      </c>
      <c r="V4" s="50"/>
      <c r="W4" s="43" t="s">
        <v>42</v>
      </c>
      <c r="X4" s="57">
        <v>0.02</v>
      </c>
      <c r="Y4" s="43">
        <f>ROUNDDOWN(IF((O4-N4+1)*K4*X4/365&gt;R4,R4,(O4-N4+1)*K4*X4/365),2)</f>
        <v>24.73</v>
      </c>
      <c r="Z4" s="55">
        <f>R4-Y4</f>
        <v>1.57</v>
      </c>
      <c r="AA4" s="55" t="s">
        <v>177</v>
      </c>
      <c r="AB4" s="43" t="s">
        <v>61</v>
      </c>
      <c r="AD4" s="61">
        <f>(O4-N4+1)*K4*X4/365</f>
        <v>24.739699999999999</v>
      </c>
    </row>
    <row r="5" spans="1:30" s="35" customFormat="1">
      <c r="A5" s="44"/>
      <c r="B5" s="44"/>
      <c r="C5" s="44"/>
      <c r="D5" s="44"/>
      <c r="E5" s="44"/>
      <c r="F5" s="44"/>
      <c r="G5" s="44"/>
      <c r="H5" s="44"/>
      <c r="I5" s="44"/>
      <c r="J5" s="42"/>
      <c r="K5" s="42"/>
      <c r="L5" s="44"/>
      <c r="M5" s="51"/>
      <c r="N5" s="52"/>
      <c r="O5" s="50">
        <v>45491</v>
      </c>
      <c r="P5" s="75">
        <v>45005</v>
      </c>
      <c r="Q5" s="58">
        <v>2.4500000000000002</v>
      </c>
      <c r="R5" s="44"/>
      <c r="S5" s="75">
        <v>45005</v>
      </c>
      <c r="T5" s="58">
        <f>(S5-N4)/360*$U$4*$K$4</f>
        <v>2.4500000000000002</v>
      </c>
      <c r="U5" s="78">
        <f t="shared" ref="U5:U15" si="0">T5-Q5</f>
        <v>0</v>
      </c>
      <c r="V5" s="75"/>
      <c r="W5" s="58"/>
      <c r="X5" s="44"/>
      <c r="Y5" s="44">
        <f>ROUNDDOWN((V5-N4)*K4*X4/365,2)</f>
        <v>-3697.89</v>
      </c>
      <c r="Z5" s="44"/>
      <c r="AA5" s="44"/>
      <c r="AB5" s="44"/>
    </row>
    <row r="6" spans="1:30" s="35" customFormat="1">
      <c r="A6" s="44"/>
      <c r="B6" s="44"/>
      <c r="C6" s="44"/>
      <c r="D6" s="44"/>
      <c r="E6" s="44"/>
      <c r="F6" s="44"/>
      <c r="G6" s="44"/>
      <c r="H6" s="44"/>
      <c r="I6" s="44"/>
      <c r="J6" s="42"/>
      <c r="K6" s="42"/>
      <c r="L6" s="44"/>
      <c r="M6" s="51"/>
      <c r="N6" s="52"/>
      <c r="O6" s="52"/>
      <c r="P6" s="75">
        <v>45036</v>
      </c>
      <c r="Q6" s="58">
        <v>5.43</v>
      </c>
      <c r="R6" s="44"/>
      <c r="S6" s="75">
        <v>45036</v>
      </c>
      <c r="T6" s="58">
        <f t="shared" ref="T6:T15" si="1">(S6-S5)*$K$4*$U$4/360</f>
        <v>5.43</v>
      </c>
      <c r="U6" s="58">
        <f t="shared" si="0"/>
        <v>0</v>
      </c>
      <c r="V6" s="75"/>
      <c r="W6" s="58"/>
      <c r="X6" s="44"/>
      <c r="Y6" s="44"/>
      <c r="Z6" s="44"/>
      <c r="AA6" s="44"/>
      <c r="AB6" s="44"/>
    </row>
    <row r="7" spans="1:30" s="35" customFormat="1">
      <c r="A7" s="44"/>
      <c r="B7" s="44"/>
      <c r="C7" s="44"/>
      <c r="D7" s="44"/>
      <c r="E7" s="44"/>
      <c r="F7" s="44"/>
      <c r="G7" s="44"/>
      <c r="H7" s="44"/>
      <c r="I7" s="44"/>
      <c r="J7" s="42"/>
      <c r="K7" s="42"/>
      <c r="L7" s="44"/>
      <c r="M7" s="51"/>
      <c r="N7" s="52"/>
      <c r="O7" s="52"/>
      <c r="P7" s="75">
        <v>45066</v>
      </c>
      <c r="Q7" s="58">
        <v>5.25</v>
      </c>
      <c r="R7" s="44"/>
      <c r="S7" s="75">
        <v>45066</v>
      </c>
      <c r="T7" s="58">
        <f t="shared" si="1"/>
        <v>5.25</v>
      </c>
      <c r="U7" s="78">
        <f t="shared" si="0"/>
        <v>0</v>
      </c>
      <c r="V7" s="75"/>
      <c r="W7" s="58"/>
      <c r="X7" s="44"/>
      <c r="Y7" s="44"/>
      <c r="Z7" s="44"/>
      <c r="AA7" s="44"/>
      <c r="AB7" s="44"/>
    </row>
    <row r="8" spans="1:30" s="35" customFormat="1">
      <c r="A8" s="44"/>
      <c r="B8" s="44"/>
      <c r="C8" s="44"/>
      <c r="D8" s="44"/>
      <c r="E8" s="44"/>
      <c r="F8" s="44"/>
      <c r="G8" s="44"/>
      <c r="H8" s="44"/>
      <c r="I8" s="44"/>
      <c r="J8" s="42"/>
      <c r="K8" s="42"/>
      <c r="L8" s="44"/>
      <c r="M8" s="51"/>
      <c r="N8" s="52"/>
      <c r="O8" s="52"/>
      <c r="P8" s="75">
        <v>45097</v>
      </c>
      <c r="Q8" s="58">
        <v>5.43</v>
      </c>
      <c r="R8" s="44"/>
      <c r="S8" s="75">
        <v>45097</v>
      </c>
      <c r="T8" s="58">
        <f t="shared" si="1"/>
        <v>5.43</v>
      </c>
      <c r="U8" s="78">
        <f t="shared" si="0"/>
        <v>0</v>
      </c>
      <c r="V8" s="75"/>
      <c r="W8" s="58"/>
      <c r="X8" s="44"/>
      <c r="Y8" s="44"/>
      <c r="Z8" s="44"/>
      <c r="AA8" s="44"/>
      <c r="AB8" s="44"/>
    </row>
    <row r="9" spans="1:30" s="35" customFormat="1">
      <c r="A9" s="44"/>
      <c r="B9" s="44"/>
      <c r="C9" s="44"/>
      <c r="D9" s="44"/>
      <c r="E9" s="44"/>
      <c r="F9" s="44"/>
      <c r="G9" s="44"/>
      <c r="H9" s="44"/>
      <c r="I9" s="44"/>
      <c r="J9" s="42"/>
      <c r="K9" s="42"/>
      <c r="L9" s="44"/>
      <c r="M9" s="51"/>
      <c r="N9" s="52"/>
      <c r="O9" s="52"/>
      <c r="P9" s="75">
        <v>45127</v>
      </c>
      <c r="Q9" s="58">
        <v>5.25</v>
      </c>
      <c r="R9" s="44"/>
      <c r="S9" s="75">
        <v>45127</v>
      </c>
      <c r="T9" s="58">
        <f t="shared" si="1"/>
        <v>5.25</v>
      </c>
      <c r="U9" s="78">
        <f t="shared" si="0"/>
        <v>0</v>
      </c>
      <c r="V9" s="75"/>
      <c r="W9" s="58"/>
      <c r="X9" s="44"/>
      <c r="Y9" s="44"/>
      <c r="Z9" s="44"/>
      <c r="AA9" s="44"/>
      <c r="AB9" s="44"/>
    </row>
    <row r="10" spans="1:30" s="35" customFormat="1">
      <c r="A10" s="44"/>
      <c r="B10" s="44"/>
      <c r="C10" s="44"/>
      <c r="D10" s="44"/>
      <c r="E10" s="44"/>
      <c r="F10" s="44"/>
      <c r="G10" s="44"/>
      <c r="H10" s="44"/>
      <c r="I10" s="44"/>
      <c r="J10" s="42"/>
      <c r="K10" s="42"/>
      <c r="L10" s="44"/>
      <c r="M10" s="51"/>
      <c r="N10" s="52"/>
      <c r="O10" s="52"/>
      <c r="P10" s="75">
        <v>45158</v>
      </c>
      <c r="Q10" s="58">
        <v>5.43</v>
      </c>
      <c r="R10" s="44"/>
      <c r="S10" s="75">
        <v>45158</v>
      </c>
      <c r="T10" s="58">
        <f t="shared" si="1"/>
        <v>5.43</v>
      </c>
      <c r="U10" s="78">
        <f t="shared" si="0"/>
        <v>0</v>
      </c>
      <c r="V10" s="75"/>
      <c r="W10" s="58"/>
      <c r="X10" s="44"/>
      <c r="Y10" s="44"/>
      <c r="Z10" s="44"/>
      <c r="AA10" s="44"/>
      <c r="AB10" s="44"/>
    </row>
    <row r="11" spans="1:30" s="35" customFormat="1">
      <c r="A11" s="44"/>
      <c r="B11" s="44"/>
      <c r="C11" s="44"/>
      <c r="D11" s="44"/>
      <c r="E11" s="44"/>
      <c r="F11" s="44"/>
      <c r="G11" s="44"/>
      <c r="H11" s="44"/>
      <c r="I11" s="44"/>
      <c r="J11" s="42"/>
      <c r="K11" s="42"/>
      <c r="L11" s="44"/>
      <c r="M11" s="51"/>
      <c r="N11" s="52"/>
      <c r="O11" s="52"/>
      <c r="P11" s="75">
        <v>45189</v>
      </c>
      <c r="Q11" s="58">
        <v>5.24</v>
      </c>
      <c r="R11" s="44"/>
      <c r="S11" s="75">
        <v>45189</v>
      </c>
      <c r="T11" s="58">
        <f t="shared" si="1"/>
        <v>5.43</v>
      </c>
      <c r="U11" s="78">
        <f t="shared" si="0"/>
        <v>0.19</v>
      </c>
      <c r="V11" s="75"/>
      <c r="W11" s="58"/>
      <c r="X11" s="44"/>
      <c r="Y11" s="44"/>
      <c r="Z11" s="44"/>
      <c r="AA11" s="44"/>
      <c r="AB11" s="44"/>
    </row>
    <row r="12" spans="1:30" s="35" customFormat="1">
      <c r="A12" s="44"/>
      <c r="B12" s="44"/>
      <c r="C12" s="44"/>
      <c r="D12" s="44"/>
      <c r="E12" s="44"/>
      <c r="F12" s="44"/>
      <c r="G12" s="44"/>
      <c r="H12" s="44"/>
      <c r="I12" s="44"/>
      <c r="J12" s="42"/>
      <c r="K12" s="42"/>
      <c r="L12" s="44"/>
      <c r="M12" s="51"/>
      <c r="N12" s="52"/>
      <c r="O12" s="52"/>
      <c r="P12" s="75">
        <v>45219</v>
      </c>
      <c r="Q12" s="58">
        <v>5.08</v>
      </c>
      <c r="R12" s="44"/>
      <c r="S12" s="75">
        <v>45219</v>
      </c>
      <c r="T12" s="58">
        <f t="shared" si="1"/>
        <v>5.25</v>
      </c>
      <c r="U12" s="78">
        <f t="shared" si="0"/>
        <v>0.17</v>
      </c>
      <c r="V12" s="75"/>
      <c r="W12" s="58"/>
      <c r="X12" s="44"/>
      <c r="Y12" s="44"/>
      <c r="Z12" s="44"/>
      <c r="AA12" s="44"/>
      <c r="AB12" s="44"/>
    </row>
    <row r="13" spans="1:30" s="35" customFormat="1">
      <c r="A13" s="44"/>
      <c r="B13" s="44"/>
      <c r="C13" s="44"/>
      <c r="D13" s="44"/>
      <c r="E13" s="44"/>
      <c r="F13" s="44"/>
      <c r="G13" s="44"/>
      <c r="H13" s="44"/>
      <c r="I13" s="44"/>
      <c r="J13" s="42"/>
      <c r="K13" s="42"/>
      <c r="L13" s="44"/>
      <c r="M13" s="51"/>
      <c r="N13" s="52"/>
      <c r="O13" s="52"/>
      <c r="P13" s="75">
        <v>45250</v>
      </c>
      <c r="Q13" s="58">
        <v>5.24</v>
      </c>
      <c r="R13" s="44"/>
      <c r="S13" s="75">
        <v>45250</v>
      </c>
      <c r="T13" s="58">
        <f t="shared" si="1"/>
        <v>5.43</v>
      </c>
      <c r="U13" s="78">
        <f t="shared" si="0"/>
        <v>0.19</v>
      </c>
      <c r="V13" s="75"/>
      <c r="W13" s="58"/>
      <c r="X13" s="44"/>
      <c r="Y13" s="44"/>
      <c r="Z13" s="44"/>
      <c r="AA13" s="44"/>
      <c r="AB13" s="44"/>
    </row>
    <row r="14" spans="1:30" s="35" customFormat="1">
      <c r="A14" s="44"/>
      <c r="B14" s="44"/>
      <c r="C14" s="44"/>
      <c r="D14" s="44"/>
      <c r="E14" s="44"/>
      <c r="F14" s="44"/>
      <c r="G14" s="44"/>
      <c r="H14" s="44"/>
      <c r="I14" s="44"/>
      <c r="J14" s="42"/>
      <c r="K14" s="42"/>
      <c r="L14" s="44"/>
      <c r="M14" s="51"/>
      <c r="N14" s="52"/>
      <c r="O14" s="52"/>
      <c r="P14" s="75">
        <v>45280</v>
      </c>
      <c r="Q14" s="58">
        <v>5.08</v>
      </c>
      <c r="R14" s="44"/>
      <c r="S14" s="75">
        <v>45280</v>
      </c>
      <c r="T14" s="58">
        <f t="shared" si="1"/>
        <v>5.25</v>
      </c>
      <c r="U14" s="78">
        <f t="shared" si="0"/>
        <v>0.17</v>
      </c>
      <c r="V14" s="75"/>
      <c r="W14" s="58"/>
      <c r="X14" s="44"/>
      <c r="Y14" s="44"/>
      <c r="Z14" s="44"/>
      <c r="AA14" s="44"/>
      <c r="AB14" s="44"/>
    </row>
    <row r="15" spans="1:30" s="35" customFormat="1">
      <c r="A15" s="44"/>
      <c r="B15" s="44"/>
      <c r="C15" s="44"/>
      <c r="D15" s="44"/>
      <c r="E15" s="44"/>
      <c r="F15" s="44"/>
      <c r="G15" s="44"/>
      <c r="H15" s="44"/>
      <c r="I15" s="44"/>
      <c r="J15" s="42"/>
      <c r="K15" s="42"/>
      <c r="L15" s="44"/>
      <c r="M15" s="51"/>
      <c r="N15" s="52"/>
      <c r="O15" s="52"/>
      <c r="P15" s="75">
        <v>45311</v>
      </c>
      <c r="Q15" s="58">
        <v>5.24</v>
      </c>
      <c r="R15" s="44"/>
      <c r="S15" s="75">
        <v>45311</v>
      </c>
      <c r="T15" s="58">
        <f t="shared" si="1"/>
        <v>5.43</v>
      </c>
      <c r="U15" s="78">
        <f t="shared" si="0"/>
        <v>0.19</v>
      </c>
      <c r="V15" s="75"/>
      <c r="W15" s="58"/>
      <c r="X15" s="44"/>
      <c r="Y15" s="44"/>
      <c r="Z15" s="44"/>
      <c r="AA15" s="44"/>
      <c r="AB15" s="44"/>
    </row>
    <row r="16" spans="1:30" s="35" customFormat="1" hidden="1">
      <c r="A16" s="44"/>
      <c r="B16" s="44"/>
      <c r="C16" s="44"/>
      <c r="D16" s="44"/>
      <c r="E16" s="44"/>
      <c r="F16" s="44"/>
      <c r="G16" s="44"/>
      <c r="H16" s="44"/>
      <c r="I16" s="44"/>
      <c r="J16" s="42"/>
      <c r="K16" s="42"/>
      <c r="L16" s="44"/>
      <c r="M16" s="51"/>
      <c r="N16" s="52"/>
      <c r="O16" s="52"/>
      <c r="P16" s="75"/>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2"/>
      <c r="K17" s="42"/>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2"/>
      <c r="K18" s="42"/>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2"/>
      <c r="K19" s="42"/>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2"/>
      <c r="K25" s="42"/>
      <c r="L25" s="44"/>
      <c r="M25" s="51"/>
      <c r="N25" s="52"/>
      <c r="O25" s="52"/>
      <c r="P25" s="75"/>
      <c r="Q25" s="58"/>
      <c r="R25" s="44"/>
      <c r="S25" s="53"/>
      <c r="T25" s="58"/>
      <c r="U25" s="58"/>
      <c r="V25" s="44"/>
      <c r="W25" s="44"/>
      <c r="X25" s="44"/>
      <c r="Y25" s="44"/>
      <c r="Z25" s="44"/>
      <c r="AA25" s="44"/>
      <c r="AB25" s="44"/>
    </row>
    <row r="26" spans="1:28" s="34" customFormat="1" ht="143.15" customHeight="1">
      <c r="A26" s="43">
        <v>2</v>
      </c>
      <c r="B26" s="43" t="s">
        <v>608</v>
      </c>
      <c r="C26" s="43" t="s">
        <v>1139</v>
      </c>
      <c r="D26" s="43" t="s">
        <v>1151</v>
      </c>
      <c r="E26" s="43" t="s">
        <v>34</v>
      </c>
      <c r="F26" s="43" t="s">
        <v>1152</v>
      </c>
      <c r="G26" s="43" t="s">
        <v>1153</v>
      </c>
      <c r="H26" s="43" t="s">
        <v>71</v>
      </c>
      <c r="I26" s="43" t="s">
        <v>1154</v>
      </c>
      <c r="J26" s="71" t="s">
        <v>1158</v>
      </c>
      <c r="K26" s="71">
        <v>500</v>
      </c>
      <c r="L26" s="43" t="s">
        <v>1156</v>
      </c>
      <c r="M26" s="49" t="s">
        <v>1159</v>
      </c>
      <c r="N26" s="50">
        <v>45026</v>
      </c>
      <c r="O26" s="50">
        <v>45291</v>
      </c>
      <c r="P26" s="43">
        <f>P36-N26</f>
        <v>285</v>
      </c>
      <c r="Q26" s="55">
        <f>SUM(Q27:Q38)</f>
        <v>16.63</v>
      </c>
      <c r="R26" s="43">
        <v>5.86</v>
      </c>
      <c r="S26" s="43"/>
      <c r="T26" s="55">
        <f>SUM(T27:T38)</f>
        <v>16.63</v>
      </c>
      <c r="U26" s="56">
        <v>4.2000000000000003E-2</v>
      </c>
      <c r="V26" s="50"/>
      <c r="W26" s="43" t="s">
        <v>42</v>
      </c>
      <c r="X26" s="57">
        <v>1.4999999999999999E-2</v>
      </c>
      <c r="Y26" s="43">
        <f>ROUNDDOWN(IF((O26-N26+1)*K26*X26/365&gt;R26,R26,(O26-N26+1)*K26*X26/365),2)</f>
        <v>5.46</v>
      </c>
      <c r="Z26" s="43">
        <f>R26-Y26</f>
        <v>0.4</v>
      </c>
      <c r="AA26" s="43" t="s">
        <v>177</v>
      </c>
      <c r="AB26" s="43" t="s">
        <v>61</v>
      </c>
    </row>
    <row r="27" spans="1:28" s="35" customFormat="1">
      <c r="A27" s="44"/>
      <c r="B27" s="44"/>
      <c r="C27" s="44"/>
      <c r="D27" s="44"/>
      <c r="E27" s="44"/>
      <c r="F27" s="44"/>
      <c r="G27" s="44"/>
      <c r="H27" s="44"/>
      <c r="I27" s="44"/>
      <c r="J27" s="42"/>
      <c r="K27" s="42"/>
      <c r="L27" s="44"/>
      <c r="M27" s="51"/>
      <c r="N27" s="52"/>
      <c r="O27" s="50">
        <v>45491</v>
      </c>
      <c r="P27" s="75">
        <v>45036</v>
      </c>
      <c r="Q27" s="58">
        <v>0.57999999999999996</v>
      </c>
      <c r="R27" s="44"/>
      <c r="S27" s="75">
        <v>45036</v>
      </c>
      <c r="T27" s="58">
        <f>(S27-N26)/360*$U$26*$K$26</f>
        <v>0.57999999999999996</v>
      </c>
      <c r="U27" s="78">
        <f t="shared" ref="U27:U36" si="2">T27-Q27</f>
        <v>0</v>
      </c>
      <c r="V27" s="75"/>
      <c r="W27" s="58"/>
      <c r="X27" s="44"/>
      <c r="Y27" s="62">
        <f>ROUNDUP((V27-N26)*K26*X26/365,2)</f>
        <v>-925.2</v>
      </c>
      <c r="Z27" s="44"/>
      <c r="AA27" s="44"/>
      <c r="AB27" s="44"/>
    </row>
    <row r="28" spans="1:28" s="35" customFormat="1">
      <c r="A28" s="44"/>
      <c r="B28" s="44"/>
      <c r="C28" s="44"/>
      <c r="D28" s="44"/>
      <c r="E28" s="44"/>
      <c r="F28" s="44"/>
      <c r="G28" s="44"/>
      <c r="H28" s="44"/>
      <c r="I28" s="44"/>
      <c r="J28" s="42"/>
      <c r="K28" s="42"/>
      <c r="L28" s="44"/>
      <c r="M28" s="51"/>
      <c r="N28" s="52"/>
      <c r="O28" s="52"/>
      <c r="P28" s="75">
        <v>45066</v>
      </c>
      <c r="Q28" s="58">
        <v>1.75</v>
      </c>
      <c r="R28" s="44"/>
      <c r="S28" s="75">
        <v>45066</v>
      </c>
      <c r="T28" s="58">
        <f t="shared" ref="T28:T36" si="3">(S28-S27)*$U$26*$K$26/360</f>
        <v>1.75</v>
      </c>
      <c r="U28" s="78">
        <f t="shared" si="2"/>
        <v>0</v>
      </c>
      <c r="V28" s="75"/>
      <c r="W28" s="58"/>
      <c r="X28" s="44"/>
      <c r="Y28" s="62"/>
      <c r="Z28" s="44"/>
      <c r="AA28" s="44"/>
      <c r="AB28" s="44"/>
    </row>
    <row r="29" spans="1:28" s="35" customFormat="1">
      <c r="A29" s="44"/>
      <c r="B29" s="44"/>
      <c r="C29" s="44"/>
      <c r="D29" s="44"/>
      <c r="E29" s="44"/>
      <c r="F29" s="44"/>
      <c r="G29" s="44"/>
      <c r="H29" s="44"/>
      <c r="I29" s="44"/>
      <c r="J29" s="42"/>
      <c r="K29" s="42"/>
      <c r="L29" s="44"/>
      <c r="M29" s="51"/>
      <c r="N29" s="52"/>
      <c r="O29" s="52"/>
      <c r="P29" s="75">
        <v>45097</v>
      </c>
      <c r="Q29" s="58">
        <v>1.81</v>
      </c>
      <c r="R29" s="44"/>
      <c r="S29" s="75">
        <v>45097</v>
      </c>
      <c r="T29" s="58">
        <f t="shared" si="3"/>
        <v>1.81</v>
      </c>
      <c r="U29" s="78">
        <f t="shared" si="2"/>
        <v>0</v>
      </c>
      <c r="V29" s="75"/>
      <c r="W29" s="58"/>
      <c r="X29" s="44"/>
      <c r="Y29" s="44"/>
      <c r="Z29" s="44"/>
      <c r="AA29" s="44"/>
      <c r="AB29" s="44"/>
    </row>
    <row r="30" spans="1:28" s="35" customFormat="1">
      <c r="A30" s="44"/>
      <c r="B30" s="44"/>
      <c r="C30" s="44"/>
      <c r="D30" s="44"/>
      <c r="E30" s="44"/>
      <c r="F30" s="44"/>
      <c r="G30" s="44"/>
      <c r="H30" s="44"/>
      <c r="I30" s="44"/>
      <c r="J30" s="42"/>
      <c r="K30" s="42"/>
      <c r="L30" s="44"/>
      <c r="M30" s="51"/>
      <c r="N30" s="52"/>
      <c r="O30" s="52"/>
      <c r="P30" s="75">
        <v>45127</v>
      </c>
      <c r="Q30" s="58">
        <v>1.75</v>
      </c>
      <c r="R30" s="44"/>
      <c r="S30" s="75">
        <v>45127</v>
      </c>
      <c r="T30" s="58">
        <f t="shared" si="3"/>
        <v>1.75</v>
      </c>
      <c r="U30" s="78">
        <f t="shared" si="2"/>
        <v>0</v>
      </c>
      <c r="V30" s="75"/>
      <c r="W30" s="58"/>
      <c r="X30" s="44"/>
      <c r="Y30" s="44"/>
      <c r="Z30" s="44"/>
      <c r="AA30" s="44"/>
      <c r="AB30" s="44"/>
    </row>
    <row r="31" spans="1:28" s="35" customFormat="1">
      <c r="A31" s="44"/>
      <c r="B31" s="44"/>
      <c r="C31" s="44"/>
      <c r="D31" s="44"/>
      <c r="E31" s="44"/>
      <c r="F31" s="44"/>
      <c r="G31" s="44"/>
      <c r="H31" s="44"/>
      <c r="I31" s="44"/>
      <c r="J31" s="42"/>
      <c r="K31" s="42"/>
      <c r="L31" s="44"/>
      <c r="M31" s="51"/>
      <c r="N31" s="52"/>
      <c r="O31" s="52"/>
      <c r="P31" s="75">
        <v>45158</v>
      </c>
      <c r="Q31" s="58">
        <v>1.81</v>
      </c>
      <c r="R31" s="44"/>
      <c r="S31" s="75">
        <v>45158</v>
      </c>
      <c r="T31" s="58">
        <f t="shared" si="3"/>
        <v>1.81</v>
      </c>
      <c r="U31" s="78">
        <f t="shared" si="2"/>
        <v>0</v>
      </c>
      <c r="V31" s="75"/>
      <c r="W31" s="58"/>
      <c r="X31" s="44"/>
      <c r="Y31" s="44"/>
      <c r="Z31" s="44"/>
      <c r="AA31" s="44"/>
      <c r="AB31" s="44"/>
    </row>
    <row r="32" spans="1:28" s="35" customFormat="1">
      <c r="A32" s="44"/>
      <c r="B32" s="44"/>
      <c r="C32" s="44"/>
      <c r="D32" s="44"/>
      <c r="E32" s="44"/>
      <c r="F32" s="44"/>
      <c r="G32" s="44"/>
      <c r="H32" s="44"/>
      <c r="I32" s="44"/>
      <c r="J32" s="42"/>
      <c r="K32" s="42"/>
      <c r="L32" s="44"/>
      <c r="M32" s="51"/>
      <c r="N32" s="52"/>
      <c r="O32" s="52"/>
      <c r="P32" s="75">
        <v>45189</v>
      </c>
      <c r="Q32" s="58">
        <v>1.81</v>
      </c>
      <c r="R32" s="44"/>
      <c r="S32" s="75">
        <v>45189</v>
      </c>
      <c r="T32" s="58">
        <f t="shared" si="3"/>
        <v>1.81</v>
      </c>
      <c r="U32" s="78">
        <f t="shared" si="2"/>
        <v>0</v>
      </c>
      <c r="V32" s="75"/>
      <c r="W32" s="58"/>
      <c r="X32" s="44"/>
      <c r="Y32" s="44"/>
      <c r="Z32" s="44"/>
      <c r="AA32" s="44"/>
      <c r="AB32" s="44"/>
    </row>
    <row r="33" spans="1:28" s="35" customFormat="1">
      <c r="A33" s="44"/>
      <c r="B33" s="44"/>
      <c r="C33" s="44"/>
      <c r="D33" s="44"/>
      <c r="E33" s="44"/>
      <c r="F33" s="44"/>
      <c r="G33" s="44"/>
      <c r="H33" s="44"/>
      <c r="I33" s="44"/>
      <c r="J33" s="42"/>
      <c r="K33" s="42"/>
      <c r="L33" s="44"/>
      <c r="M33" s="51"/>
      <c r="N33" s="52"/>
      <c r="O33" s="52"/>
      <c r="P33" s="75">
        <v>45219</v>
      </c>
      <c r="Q33" s="58">
        <v>1.75</v>
      </c>
      <c r="R33" s="44"/>
      <c r="S33" s="75">
        <v>45219</v>
      </c>
      <c r="T33" s="58">
        <f t="shared" si="3"/>
        <v>1.75</v>
      </c>
      <c r="U33" s="78">
        <f t="shared" si="2"/>
        <v>0</v>
      </c>
      <c r="V33" s="75"/>
      <c r="W33" s="58"/>
      <c r="X33" s="44"/>
      <c r="Y33" s="44"/>
      <c r="Z33" s="44"/>
      <c r="AA33" s="44"/>
      <c r="AB33" s="44"/>
    </row>
    <row r="34" spans="1:28" s="35" customFormat="1">
      <c r="A34" s="44"/>
      <c r="B34" s="44"/>
      <c r="C34" s="44"/>
      <c r="D34" s="44"/>
      <c r="E34" s="44"/>
      <c r="F34" s="44"/>
      <c r="G34" s="44"/>
      <c r="H34" s="44"/>
      <c r="I34" s="44"/>
      <c r="J34" s="42"/>
      <c r="K34" s="42"/>
      <c r="L34" s="44"/>
      <c r="M34" s="51"/>
      <c r="N34" s="52"/>
      <c r="O34" s="52"/>
      <c r="P34" s="75">
        <v>45250</v>
      </c>
      <c r="Q34" s="58">
        <v>1.81</v>
      </c>
      <c r="R34" s="44"/>
      <c r="S34" s="75">
        <v>45250</v>
      </c>
      <c r="T34" s="58">
        <f t="shared" si="3"/>
        <v>1.81</v>
      </c>
      <c r="U34" s="78">
        <f t="shared" si="2"/>
        <v>0</v>
      </c>
      <c r="V34" s="75"/>
      <c r="W34" s="58"/>
      <c r="X34" s="44"/>
      <c r="Y34" s="44"/>
      <c r="Z34" s="44"/>
      <c r="AA34" s="44"/>
      <c r="AB34" s="44"/>
    </row>
    <row r="35" spans="1:28" s="35" customFormat="1">
      <c r="A35" s="44"/>
      <c r="B35" s="44"/>
      <c r="C35" s="44"/>
      <c r="D35" s="44"/>
      <c r="E35" s="44"/>
      <c r="F35" s="44"/>
      <c r="G35" s="44"/>
      <c r="H35" s="44"/>
      <c r="I35" s="44"/>
      <c r="J35" s="42"/>
      <c r="K35" s="42"/>
      <c r="L35" s="44"/>
      <c r="M35" s="51"/>
      <c r="N35" s="52"/>
      <c r="O35" s="52"/>
      <c r="P35" s="75">
        <v>45280</v>
      </c>
      <c r="Q35" s="58">
        <v>1.75</v>
      </c>
      <c r="R35" s="44"/>
      <c r="S35" s="75">
        <v>45280</v>
      </c>
      <c r="T35" s="58">
        <f t="shared" si="3"/>
        <v>1.75</v>
      </c>
      <c r="U35" s="78">
        <f t="shared" si="2"/>
        <v>0</v>
      </c>
      <c r="V35" s="75"/>
      <c r="W35" s="58"/>
      <c r="X35" s="44"/>
      <c r="Y35" s="44"/>
      <c r="Z35" s="44"/>
      <c r="AA35" s="44"/>
      <c r="AB35" s="44"/>
    </row>
    <row r="36" spans="1:28" s="35" customFormat="1">
      <c r="A36" s="44"/>
      <c r="B36" s="44"/>
      <c r="C36" s="44"/>
      <c r="D36" s="44"/>
      <c r="E36" s="44"/>
      <c r="F36" s="44"/>
      <c r="G36" s="44"/>
      <c r="H36" s="44"/>
      <c r="I36" s="44"/>
      <c r="J36" s="42"/>
      <c r="K36" s="42"/>
      <c r="L36" s="44"/>
      <c r="M36" s="51"/>
      <c r="N36" s="52"/>
      <c r="O36" s="52"/>
      <c r="P36" s="75">
        <v>45311</v>
      </c>
      <c r="Q36" s="58">
        <v>1.81</v>
      </c>
      <c r="R36" s="44"/>
      <c r="S36" s="75">
        <v>45311</v>
      </c>
      <c r="T36" s="58">
        <f t="shared" si="3"/>
        <v>1.81</v>
      </c>
      <c r="U36" s="78">
        <f t="shared" si="2"/>
        <v>0</v>
      </c>
      <c r="V36" s="75"/>
      <c r="W36" s="58"/>
      <c r="X36" s="44"/>
      <c r="Y36" s="44"/>
      <c r="Z36" s="44"/>
      <c r="AA36" s="44"/>
      <c r="AB36" s="44"/>
    </row>
    <row r="37" spans="1:28" s="35" customFormat="1" hidden="1">
      <c r="A37" s="44"/>
      <c r="B37" s="44"/>
      <c r="C37" s="44"/>
      <c r="D37" s="44"/>
      <c r="E37" s="44"/>
      <c r="F37" s="44"/>
      <c r="G37" s="44"/>
      <c r="H37" s="44"/>
      <c r="I37" s="44"/>
      <c r="J37" s="42"/>
      <c r="K37" s="42"/>
      <c r="L37" s="44"/>
      <c r="M37" s="51"/>
      <c r="N37" s="52"/>
      <c r="O37" s="52"/>
      <c r="P37" s="75"/>
      <c r="Q37" s="58"/>
      <c r="R37" s="44"/>
      <c r="S37" s="75"/>
      <c r="T37" s="58"/>
      <c r="U37" s="58"/>
      <c r="V37" s="44"/>
      <c r="W37" s="44"/>
      <c r="X37" s="44"/>
      <c r="Y37" s="44"/>
      <c r="Z37" s="44"/>
      <c r="AA37" s="44"/>
      <c r="AB37" s="44"/>
    </row>
    <row r="38" spans="1:28" s="35" customFormat="1" hidden="1">
      <c r="A38" s="44"/>
      <c r="B38" s="44"/>
      <c r="C38" s="44"/>
      <c r="D38" s="44"/>
      <c r="E38" s="44"/>
      <c r="F38" s="44"/>
      <c r="G38" s="44"/>
      <c r="H38" s="44"/>
      <c r="I38" s="44"/>
      <c r="J38" s="42"/>
      <c r="K38" s="42"/>
      <c r="L38" s="44"/>
      <c r="M38" s="51"/>
      <c r="N38" s="52"/>
      <c r="O38" s="52"/>
      <c r="P38" s="75"/>
      <c r="Q38" s="58"/>
      <c r="R38" s="44"/>
      <c r="S38" s="75"/>
      <c r="T38" s="58">
        <f>(S38-S37)*$U$26*$K$26/360</f>
        <v>0</v>
      </c>
      <c r="U38" s="58">
        <f>T38-Q38</f>
        <v>0</v>
      </c>
      <c r="V38" s="44"/>
      <c r="W38" s="44"/>
      <c r="X38" s="44"/>
      <c r="Y38" s="44"/>
      <c r="Z38" s="44"/>
      <c r="AA38" s="44"/>
      <c r="AB38" s="44"/>
    </row>
    <row r="39" spans="1:28" s="35" customFormat="1" hidden="1">
      <c r="A39" s="44"/>
      <c r="B39" s="44"/>
      <c r="C39" s="44"/>
      <c r="D39" s="44"/>
      <c r="E39" s="44"/>
      <c r="F39" s="44"/>
      <c r="G39" s="44"/>
      <c r="H39" s="44"/>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2"/>
      <c r="K46" s="42"/>
      <c r="L46" s="44"/>
      <c r="M46" s="51"/>
      <c r="N46" s="52"/>
      <c r="O46" s="52"/>
      <c r="P46" s="75"/>
      <c r="Q46" s="58"/>
      <c r="R46" s="44"/>
      <c r="S46" s="53"/>
      <c r="T46" s="58"/>
      <c r="U46" s="58"/>
      <c r="V46" s="44"/>
      <c r="W46" s="44"/>
      <c r="X46" s="44"/>
      <c r="Y46" s="44"/>
      <c r="Z46" s="44"/>
      <c r="AA46" s="44"/>
      <c r="AB46" s="44"/>
    </row>
    <row r="47" spans="1:28" s="35" customFormat="1" ht="22" hidden="1" customHeight="1">
      <c r="A47" s="44"/>
      <c r="B47" s="44"/>
      <c r="C47" s="44"/>
      <c r="D47" s="44"/>
      <c r="E47" s="44"/>
      <c r="F47" s="44"/>
      <c r="G47" s="44"/>
      <c r="H47" s="44"/>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43"/>
      <c r="I48" s="43"/>
      <c r="J48" s="71"/>
      <c r="K48" s="71"/>
      <c r="L48" s="43"/>
      <c r="M48" s="49"/>
      <c r="N48" s="50"/>
      <c r="O48" s="50"/>
      <c r="P48" s="43"/>
      <c r="Q48" s="55"/>
      <c r="R48" s="43"/>
      <c r="S48" s="43"/>
      <c r="T48" s="55"/>
      <c r="U48" s="56"/>
      <c r="V48" s="50"/>
      <c r="W48" s="43"/>
      <c r="X48" s="57"/>
      <c r="Y48" s="43"/>
      <c r="Z48" s="95"/>
      <c r="AA48" s="43"/>
      <c r="AB48" s="43"/>
    </row>
    <row r="49" spans="1:28" s="35" customFormat="1" hidden="1">
      <c r="A49" s="44"/>
      <c r="B49" s="44"/>
      <c r="C49" s="44"/>
      <c r="D49" s="44"/>
      <c r="E49" s="44"/>
      <c r="F49" s="44"/>
      <c r="G49" s="44"/>
      <c r="H49" s="44"/>
      <c r="I49" s="44"/>
      <c r="J49" s="42"/>
      <c r="K49" s="42"/>
      <c r="L49" s="44"/>
      <c r="M49" s="51"/>
      <c r="N49" s="52"/>
      <c r="O49" s="52"/>
      <c r="P49" s="75"/>
      <c r="Q49" s="58"/>
      <c r="R49" s="44"/>
      <c r="S49" s="75"/>
      <c r="T49" s="58"/>
      <c r="U49" s="58"/>
      <c r="V49" s="52"/>
      <c r="W49" s="44"/>
      <c r="X49" s="44"/>
      <c r="Y49" s="62"/>
      <c r="Z49" s="44"/>
      <c r="AA49" s="44"/>
      <c r="AB49" s="44"/>
    </row>
    <row r="50" spans="1:28" s="35" customFormat="1" hidden="1">
      <c r="A50" s="44"/>
      <c r="B50" s="44"/>
      <c r="C50" s="44"/>
      <c r="D50" s="44"/>
      <c r="E50" s="44"/>
      <c r="F50" s="44"/>
      <c r="G50" s="44"/>
      <c r="H50" s="44"/>
      <c r="I50" s="44"/>
      <c r="J50" s="42"/>
      <c r="K50" s="42"/>
      <c r="L50" s="44"/>
      <c r="M50" s="51"/>
      <c r="N50" s="52"/>
      <c r="O50" s="52"/>
      <c r="P50" s="75"/>
      <c r="Q50" s="58"/>
      <c r="R50" s="44"/>
      <c r="S50" s="75"/>
      <c r="T50" s="58"/>
      <c r="U50" s="58"/>
      <c r="V50" s="44"/>
      <c r="W50" s="44"/>
      <c r="X50" s="44"/>
      <c r="Y50" s="44"/>
      <c r="Z50" s="44"/>
      <c r="AA50" s="44"/>
      <c r="AB50" s="44"/>
    </row>
    <row r="51" spans="1:28" s="35" customFormat="1" hidden="1">
      <c r="A51" s="44"/>
      <c r="B51" s="44"/>
      <c r="C51" s="44"/>
      <c r="D51" s="44"/>
      <c r="E51" s="44"/>
      <c r="F51" s="44"/>
      <c r="G51" s="44"/>
      <c r="H51" s="44"/>
      <c r="I51" s="44"/>
      <c r="J51" s="42"/>
      <c r="K51" s="42"/>
      <c r="L51" s="44"/>
      <c r="M51" s="51"/>
      <c r="N51" s="52"/>
      <c r="O51" s="52"/>
      <c r="P51" s="75"/>
      <c r="Q51" s="58"/>
      <c r="R51" s="44"/>
      <c r="S51" s="75"/>
      <c r="T51" s="58"/>
      <c r="U51" s="58"/>
      <c r="V51" s="44"/>
      <c r="W51" s="44"/>
      <c r="X51" s="44"/>
      <c r="Y51" s="44"/>
      <c r="Z51" s="44"/>
      <c r="AA51" s="44"/>
      <c r="AB51" s="44"/>
    </row>
    <row r="52" spans="1:28" s="35" customFormat="1" hidden="1">
      <c r="A52" s="44"/>
      <c r="B52" s="44"/>
      <c r="C52" s="44"/>
      <c r="D52" s="44"/>
      <c r="E52" s="44"/>
      <c r="F52" s="44"/>
      <c r="G52" s="44"/>
      <c r="H52" s="44"/>
      <c r="I52" s="44"/>
      <c r="J52" s="42"/>
      <c r="K52" s="42"/>
      <c r="L52" s="44"/>
      <c r="M52" s="51"/>
      <c r="N52" s="52"/>
      <c r="O52" s="52"/>
      <c r="P52" s="75"/>
      <c r="Q52" s="58"/>
      <c r="R52" s="44"/>
      <c r="S52" s="75"/>
      <c r="T52" s="58"/>
      <c r="U52" s="58"/>
      <c r="V52" s="44"/>
      <c r="W52" s="44"/>
      <c r="X52" s="44"/>
      <c r="Y52" s="44"/>
      <c r="Z52" s="44"/>
      <c r="AA52" s="44"/>
      <c r="AB52" s="44"/>
    </row>
    <row r="53" spans="1:28" s="35" customFormat="1" hidden="1">
      <c r="A53" s="44"/>
      <c r="B53" s="44"/>
      <c r="C53" s="44"/>
      <c r="D53" s="44"/>
      <c r="E53" s="44"/>
      <c r="F53" s="44"/>
      <c r="G53" s="44"/>
      <c r="H53" s="44"/>
      <c r="I53" s="44"/>
      <c r="J53" s="42"/>
      <c r="K53" s="42"/>
      <c r="L53" s="44"/>
      <c r="M53" s="51"/>
      <c r="N53" s="52"/>
      <c r="O53" s="52"/>
      <c r="P53" s="75"/>
      <c r="Q53" s="58"/>
      <c r="R53" s="44"/>
      <c r="S53" s="75"/>
      <c r="T53" s="58"/>
      <c r="U53" s="58"/>
      <c r="V53" s="44"/>
      <c r="W53" s="44"/>
      <c r="X53" s="44"/>
      <c r="Y53" s="44"/>
      <c r="Z53" s="44"/>
      <c r="AA53" s="44"/>
      <c r="AB53" s="44"/>
    </row>
    <row r="54" spans="1:28" s="35" customFormat="1" hidden="1">
      <c r="A54" s="44"/>
      <c r="B54" s="44"/>
      <c r="C54" s="44"/>
      <c r="D54" s="44"/>
      <c r="E54" s="44"/>
      <c r="F54" s="44"/>
      <c r="G54" s="44"/>
      <c r="H54" s="44"/>
      <c r="I54" s="44"/>
      <c r="J54" s="42"/>
      <c r="K54" s="42"/>
      <c r="L54" s="44"/>
      <c r="M54" s="51"/>
      <c r="N54" s="52"/>
      <c r="O54" s="52"/>
      <c r="P54" s="75"/>
      <c r="Q54" s="58"/>
      <c r="R54" s="44"/>
      <c r="S54" s="75"/>
      <c r="T54" s="58"/>
      <c r="U54" s="58"/>
      <c r="V54" s="44"/>
      <c r="W54" s="44"/>
      <c r="X54" s="44"/>
      <c r="Y54" s="44"/>
      <c r="Z54" s="44"/>
      <c r="AA54" s="44"/>
      <c r="AB54" s="44"/>
    </row>
    <row r="55" spans="1:28" s="35" customFormat="1" hidden="1">
      <c r="A55" s="44"/>
      <c r="B55" s="44"/>
      <c r="C55" s="44"/>
      <c r="D55" s="44"/>
      <c r="E55" s="44"/>
      <c r="F55" s="44"/>
      <c r="G55" s="44"/>
      <c r="H55" s="44"/>
      <c r="I55" s="44"/>
      <c r="J55" s="42"/>
      <c r="K55" s="42"/>
      <c r="L55" s="44"/>
      <c r="M55" s="51"/>
      <c r="N55" s="52"/>
      <c r="O55" s="52"/>
      <c r="P55" s="75"/>
      <c r="Q55" s="58"/>
      <c r="R55" s="44"/>
      <c r="S55" s="75"/>
      <c r="T55" s="58"/>
      <c r="U55" s="58"/>
      <c r="V55" s="44"/>
      <c r="W55" s="44"/>
      <c r="X55" s="44"/>
      <c r="Y55" s="44"/>
      <c r="Z55" s="44"/>
      <c r="AA55" s="44"/>
      <c r="AB55" s="44"/>
    </row>
    <row r="56" spans="1:28" s="35" customFormat="1" hidden="1">
      <c r="A56" s="44"/>
      <c r="B56" s="44"/>
      <c r="C56" s="44"/>
      <c r="D56" s="44"/>
      <c r="E56" s="44"/>
      <c r="F56" s="44"/>
      <c r="G56" s="44"/>
      <c r="H56" s="44"/>
      <c r="I56" s="44"/>
      <c r="J56" s="42"/>
      <c r="K56" s="42"/>
      <c r="L56" s="44"/>
      <c r="M56" s="51"/>
      <c r="N56" s="52"/>
      <c r="O56" s="52"/>
      <c r="P56" s="75"/>
      <c r="Q56" s="58"/>
      <c r="R56" s="44"/>
      <c r="S56" s="75"/>
      <c r="T56" s="58"/>
      <c r="U56" s="58"/>
      <c r="V56" s="44"/>
      <c r="W56" s="44"/>
      <c r="X56" s="44"/>
      <c r="Y56" s="44"/>
      <c r="Z56" s="44"/>
      <c r="AA56" s="44"/>
      <c r="AB56" s="44"/>
    </row>
    <row r="57" spans="1:28" s="35" customFormat="1" hidden="1">
      <c r="A57" s="44"/>
      <c r="B57" s="44"/>
      <c r="C57" s="44"/>
      <c r="D57" s="44"/>
      <c r="E57" s="44"/>
      <c r="F57" s="44"/>
      <c r="G57" s="44"/>
      <c r="H57" s="44"/>
      <c r="I57" s="44"/>
      <c r="J57" s="42"/>
      <c r="K57" s="42"/>
      <c r="L57" s="44"/>
      <c r="M57" s="51"/>
      <c r="N57" s="52"/>
      <c r="O57" s="52"/>
      <c r="P57" s="75"/>
      <c r="Q57" s="58"/>
      <c r="R57" s="44"/>
      <c r="S57" s="75"/>
      <c r="T57" s="58"/>
      <c r="U57" s="58"/>
      <c r="V57" s="44"/>
      <c r="W57" s="44"/>
      <c r="X57" s="44"/>
      <c r="Y57" s="44"/>
      <c r="Z57" s="44"/>
      <c r="AA57" s="44"/>
      <c r="AB57" s="44"/>
    </row>
    <row r="58" spans="1:28" s="35" customFormat="1" hidden="1">
      <c r="A58" s="44"/>
      <c r="B58" s="44"/>
      <c r="C58" s="44"/>
      <c r="D58" s="44"/>
      <c r="E58" s="44"/>
      <c r="F58" s="44"/>
      <c r="G58" s="44"/>
      <c r="H58" s="44"/>
      <c r="I58" s="44"/>
      <c r="J58" s="42"/>
      <c r="K58" s="42"/>
      <c r="L58" s="44"/>
      <c r="M58" s="51"/>
      <c r="N58" s="52"/>
      <c r="O58" s="52"/>
      <c r="P58" s="75"/>
      <c r="Q58" s="58"/>
      <c r="R58" s="44"/>
      <c r="S58" s="75"/>
      <c r="T58" s="58">
        <f>(S58-S57)*$U$26*$K$26/360</f>
        <v>0</v>
      </c>
      <c r="U58" s="58">
        <f>T58-Q58</f>
        <v>0</v>
      </c>
      <c r="V58" s="44"/>
      <c r="W58" s="44"/>
      <c r="X58" s="44"/>
      <c r="Y58" s="44"/>
      <c r="Z58" s="44"/>
      <c r="AA58" s="44"/>
      <c r="AB58" s="44"/>
    </row>
    <row r="59" spans="1:28" s="35" customFormat="1" hidden="1">
      <c r="A59" s="44"/>
      <c r="B59" s="44"/>
      <c r="C59" s="44"/>
      <c r="D59" s="44"/>
      <c r="E59" s="44"/>
      <c r="F59" s="44"/>
      <c r="G59" s="44"/>
      <c r="H59" s="44"/>
      <c r="I59" s="44"/>
      <c r="J59" s="42"/>
      <c r="K59" s="42"/>
      <c r="L59" s="44"/>
      <c r="M59" s="51"/>
      <c r="N59" s="52"/>
      <c r="O59" s="52"/>
      <c r="P59" s="75"/>
      <c r="Q59" s="58"/>
      <c r="R59" s="44"/>
      <c r="S59" s="75"/>
      <c r="T59" s="58">
        <f>(S59-S58)*$U$26*$K$26/360</f>
        <v>0</v>
      </c>
      <c r="U59" s="58">
        <f>T59-Q59</f>
        <v>0</v>
      </c>
      <c r="V59" s="44"/>
      <c r="W59" s="44"/>
      <c r="X59" s="44"/>
      <c r="Y59" s="44"/>
      <c r="Z59" s="44"/>
      <c r="AA59" s="44"/>
      <c r="AB59" s="44"/>
    </row>
    <row r="60" spans="1:28" s="35" customFormat="1" hidden="1">
      <c r="A60" s="44"/>
      <c r="B60" s="44"/>
      <c r="C60" s="44"/>
      <c r="D60" s="44"/>
      <c r="E60" s="44"/>
      <c r="F60" s="44"/>
      <c r="G60" s="44"/>
      <c r="H60" s="44"/>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c r="B70" s="43"/>
      <c r="C70" s="43"/>
      <c r="D70" s="43"/>
      <c r="E70" s="43"/>
      <c r="F70" s="43"/>
      <c r="G70" s="43"/>
      <c r="H70" s="43"/>
      <c r="I70" s="43"/>
      <c r="J70" s="71"/>
      <c r="K70" s="71"/>
      <c r="L70" s="43"/>
      <c r="M70" s="49"/>
      <c r="N70" s="50"/>
      <c r="O70" s="50"/>
      <c r="P70" s="76"/>
      <c r="Q70" s="55">
        <f>SUM(Q71:Q91)</f>
        <v>0</v>
      </c>
      <c r="R70" s="43"/>
      <c r="S70" s="43"/>
      <c r="T70" s="43"/>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c r="B92" s="43"/>
      <c r="C92" s="43"/>
      <c r="D92" s="43"/>
      <c r="E92" s="43"/>
      <c r="F92" s="43"/>
      <c r="G92" s="43"/>
      <c r="H92" s="43"/>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4"/>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71"/>
      <c r="K114" s="71">
        <f>K92+K70+K48+K26++K4</f>
        <v>2000</v>
      </c>
      <c r="L114" s="43"/>
      <c r="M114" s="49"/>
      <c r="N114" s="50"/>
      <c r="O114" s="50"/>
      <c r="P114" s="76"/>
      <c r="Q114" s="43"/>
      <c r="R114" s="43">
        <f>R92+R70+R48+R26++R4</f>
        <v>32.159999999999997</v>
      </c>
      <c r="S114" s="43"/>
      <c r="T114" s="43"/>
      <c r="U114" s="43"/>
      <c r="V114" s="43"/>
      <c r="W114" s="43"/>
      <c r="X114" s="43"/>
      <c r="Y114" s="43">
        <f>Y92+Y70+Y48+Y26++Y4</f>
        <v>30.19</v>
      </c>
      <c r="Z114" s="43"/>
      <c r="AA114" s="43"/>
      <c r="AB114" s="43"/>
    </row>
    <row r="115" spans="1:28">
      <c r="I115" s="36" t="s">
        <v>49</v>
      </c>
      <c r="K115" s="72">
        <f>IF(K114&gt;3000,K116,K114)</f>
        <v>2000</v>
      </c>
    </row>
    <row r="116" spans="1:28">
      <c r="K116" s="72" t="s">
        <v>50</v>
      </c>
    </row>
  </sheetData>
  <autoFilter ref="A3:AD15" xr:uid="{00000000-0009-0000-0000-000077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AD116"/>
  <sheetViews>
    <sheetView zoomScale="110" zoomScaleNormal="11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成都新恒创药业有限公司审计明细表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84">
      <c r="A4" s="43">
        <v>1</v>
      </c>
      <c r="B4" s="43" t="s">
        <v>672</v>
      </c>
      <c r="C4" s="43" t="s">
        <v>1160</v>
      </c>
      <c r="D4" s="43" t="s">
        <v>1161</v>
      </c>
      <c r="E4" s="43" t="s">
        <v>146</v>
      </c>
      <c r="F4" s="43" t="s">
        <v>1152</v>
      </c>
      <c r="G4" s="43" t="s">
        <v>1162</v>
      </c>
      <c r="H4" s="96" t="s">
        <v>71</v>
      </c>
      <c r="I4" s="43" t="s">
        <v>1163</v>
      </c>
      <c r="J4" s="43" t="s">
        <v>228</v>
      </c>
      <c r="K4" s="43">
        <v>1000</v>
      </c>
      <c r="L4" s="43" t="s">
        <v>1164</v>
      </c>
      <c r="M4" s="49" t="s">
        <v>1165</v>
      </c>
      <c r="N4" s="68">
        <v>45217</v>
      </c>
      <c r="O4" s="50">
        <v>45291</v>
      </c>
      <c r="P4" s="43">
        <f>P8-N4</f>
        <v>94</v>
      </c>
      <c r="Q4" s="55">
        <f>SUM(Q5:Q25)</f>
        <v>8.49</v>
      </c>
      <c r="R4" s="55">
        <v>3.04</v>
      </c>
      <c r="S4" s="43"/>
      <c r="T4" s="55">
        <f>SUM(T5:T25)</f>
        <v>8.49</v>
      </c>
      <c r="U4" s="56">
        <v>3.2500000000000001E-2</v>
      </c>
      <c r="V4" s="50"/>
      <c r="W4" s="43" t="s">
        <v>42</v>
      </c>
      <c r="X4" s="57">
        <v>1.4999999999999999E-2</v>
      </c>
      <c r="Y4" s="43">
        <f>ROUNDDOWN(IF((O4-N4+1)*K4*X4/365&gt;R4,R4,(O4-N4+1)*K4*X4/365),2)</f>
        <v>3.04</v>
      </c>
      <c r="Z4" s="55">
        <f>R4-Y4</f>
        <v>0</v>
      </c>
      <c r="AA4" s="55"/>
      <c r="AB4" s="43" t="s">
        <v>61</v>
      </c>
      <c r="AD4" s="61">
        <f>(O4-N4+1)*K4*X4/365</f>
        <v>3.0821999999999998</v>
      </c>
    </row>
    <row r="5" spans="1:30" s="35" customFormat="1">
      <c r="A5" s="44"/>
      <c r="B5" s="44"/>
      <c r="C5" s="44"/>
      <c r="D5" s="44"/>
      <c r="E5" s="44"/>
      <c r="F5" s="44"/>
      <c r="G5" s="44"/>
      <c r="H5" s="44"/>
      <c r="I5" s="44"/>
      <c r="J5" s="44"/>
      <c r="K5" s="44"/>
      <c r="L5" s="44"/>
      <c r="M5" s="51"/>
      <c r="N5" s="52"/>
      <c r="O5" s="68">
        <v>45764</v>
      </c>
      <c r="P5" s="75">
        <v>45219</v>
      </c>
      <c r="Q5" s="58">
        <v>0.18</v>
      </c>
      <c r="R5" s="75"/>
      <c r="S5" s="75">
        <v>45219</v>
      </c>
      <c r="T5" s="58">
        <f>(S5-N4)/360*$U$4*$K$4</f>
        <v>0.18</v>
      </c>
      <c r="U5" s="78">
        <f>T5-Q5</f>
        <v>0</v>
      </c>
      <c r="V5" s="52"/>
      <c r="W5" s="44"/>
      <c r="X5" s="44"/>
      <c r="Y5" s="44">
        <f>ROUNDDOWN((V5-N4)*K4*X4/365,2)</f>
        <v>-1858.23</v>
      </c>
      <c r="Z5" s="44"/>
      <c r="AA5" s="44"/>
      <c r="AB5" s="44"/>
    </row>
    <row r="6" spans="1:30" s="35" customFormat="1">
      <c r="A6" s="44"/>
      <c r="B6" s="44"/>
      <c r="C6" s="44"/>
      <c r="D6" s="44"/>
      <c r="E6" s="44"/>
      <c r="F6" s="44"/>
      <c r="G6" s="44"/>
      <c r="H6" s="44"/>
      <c r="I6" s="44"/>
      <c r="J6" s="44"/>
      <c r="K6" s="44"/>
      <c r="L6" s="44"/>
      <c r="M6" s="51"/>
      <c r="N6" s="52"/>
      <c r="O6" s="52"/>
      <c r="P6" s="75">
        <v>45250</v>
      </c>
      <c r="Q6" s="58">
        <v>2.8</v>
      </c>
      <c r="R6" s="75"/>
      <c r="S6" s="75">
        <v>45250</v>
      </c>
      <c r="T6" s="58">
        <f>(S6-S5)*$K$4*$U$4/360</f>
        <v>2.8</v>
      </c>
      <c r="U6" s="58">
        <f>T6-Q6</f>
        <v>0</v>
      </c>
      <c r="V6" s="44"/>
      <c r="W6" s="44"/>
      <c r="X6" s="44"/>
      <c r="Y6" s="44"/>
      <c r="Z6" s="44"/>
      <c r="AA6" s="44"/>
      <c r="AB6" s="44"/>
    </row>
    <row r="7" spans="1:30" s="35" customFormat="1">
      <c r="A7" s="44"/>
      <c r="B7" s="44"/>
      <c r="C7" s="44"/>
      <c r="D7" s="44"/>
      <c r="E7" s="44"/>
      <c r="F7" s="44"/>
      <c r="G7" s="44"/>
      <c r="H7" s="44"/>
      <c r="I7" s="44"/>
      <c r="J7" s="44"/>
      <c r="K7" s="44"/>
      <c r="L7" s="44"/>
      <c r="M7" s="51"/>
      <c r="N7" s="52"/>
      <c r="O7" s="52"/>
      <c r="P7" s="75">
        <v>45280</v>
      </c>
      <c r="Q7" s="58">
        <v>2.71</v>
      </c>
      <c r="R7" s="75"/>
      <c r="S7" s="75">
        <v>45280</v>
      </c>
      <c r="T7" s="58">
        <f>(S7-S6)*$K$4*$U$4/360</f>
        <v>2.71</v>
      </c>
      <c r="U7" s="58">
        <f>T7-Q7</f>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45311</v>
      </c>
      <c r="Q8" s="58">
        <v>2.8</v>
      </c>
      <c r="R8" s="75"/>
      <c r="S8" s="75">
        <v>45311</v>
      </c>
      <c r="T8" s="58">
        <f>(S8-S7)*$K$4*$U$4/360</f>
        <v>2.8</v>
      </c>
      <c r="U8" s="58">
        <f>T8-Q8</f>
        <v>0</v>
      </c>
      <c r="V8" s="44"/>
      <c r="W8" s="44"/>
      <c r="X8" s="44"/>
      <c r="Y8" s="44"/>
      <c r="Z8" s="44"/>
      <c r="AA8" s="44"/>
      <c r="AB8" s="44"/>
    </row>
    <row r="9" spans="1:30" s="35" customFormat="1" hidden="1">
      <c r="A9" s="44"/>
      <c r="B9" s="44"/>
      <c r="C9" s="44"/>
      <c r="D9" s="44"/>
      <c r="E9" s="44"/>
      <c r="F9" s="44"/>
      <c r="G9" s="44"/>
      <c r="H9" s="44"/>
      <c r="I9" s="44"/>
      <c r="J9" s="44"/>
      <c r="K9" s="44"/>
      <c r="L9" s="44"/>
      <c r="M9" s="51"/>
      <c r="N9" s="52"/>
      <c r="O9" s="52"/>
      <c r="P9" s="75"/>
      <c r="Q9" s="58"/>
      <c r="R9" s="75"/>
      <c r="S9" s="75"/>
      <c r="T9" s="58"/>
      <c r="U9" s="58"/>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75"/>
      <c r="Q10" s="58"/>
      <c r="R10" s="75"/>
      <c r="S10" s="75"/>
      <c r="T10" s="58"/>
      <c r="U10" s="58"/>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75"/>
      <c r="S11" s="75"/>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75"/>
      <c r="S12" s="75"/>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75"/>
      <c r="S13" s="75"/>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75"/>
      <c r="S14" s="75"/>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75"/>
      <c r="S15" s="75"/>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75"/>
      <c r="S16" s="75"/>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0">B26</f>
        <v>0</v>
      </c>
      <c r="C48" s="43">
        <f t="shared" si="0"/>
        <v>0</v>
      </c>
      <c r="D48" s="43">
        <f t="shared" si="0"/>
        <v>0</v>
      </c>
      <c r="E48" s="43">
        <f t="shared" si="0"/>
        <v>0</v>
      </c>
      <c r="F48" s="43">
        <f t="shared" si="0"/>
        <v>0</v>
      </c>
      <c r="G48" s="43">
        <f t="shared" si="0"/>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1">B48</f>
        <v>0</v>
      </c>
      <c r="C70" s="43">
        <f t="shared" si="1"/>
        <v>0</v>
      </c>
      <c r="D70" s="43">
        <f t="shared" si="1"/>
        <v>0</v>
      </c>
      <c r="E70" s="43">
        <f t="shared" si="1"/>
        <v>0</v>
      </c>
      <c r="F70" s="43">
        <f t="shared" si="1"/>
        <v>0</v>
      </c>
      <c r="G70" s="43">
        <f t="shared" si="1"/>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2">B70</f>
        <v>0</v>
      </c>
      <c r="C92" s="43">
        <f t="shared" si="2"/>
        <v>0</v>
      </c>
      <c r="D92" s="43">
        <f t="shared" si="2"/>
        <v>0</v>
      </c>
      <c r="E92" s="43">
        <f t="shared" si="2"/>
        <v>0</v>
      </c>
      <c r="F92" s="43">
        <f t="shared" si="2"/>
        <v>0</v>
      </c>
      <c r="G92" s="43">
        <f t="shared" si="2"/>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3.04</v>
      </c>
      <c r="S114" s="43"/>
      <c r="T114" s="43"/>
      <c r="U114" s="43"/>
      <c r="V114" s="43"/>
      <c r="W114" s="43"/>
      <c r="X114" s="43"/>
      <c r="Y114" s="43">
        <f>Y92+Y70+Y48+Y26++Y4</f>
        <v>3.04</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D116"/>
  <sheetViews>
    <sheetView topLeftCell="M1" zoomScale="90" zoomScaleNormal="9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成都润联科技开发有限公司审计明细表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645</v>
      </c>
      <c r="C4" s="43" t="s">
        <v>1139</v>
      </c>
      <c r="D4" s="43" t="s">
        <v>1140</v>
      </c>
      <c r="E4" s="71" t="s">
        <v>146</v>
      </c>
      <c r="F4" s="43" t="s">
        <v>1152</v>
      </c>
      <c r="G4" s="152" t="s">
        <v>1166</v>
      </c>
      <c r="H4" s="101" t="s">
        <v>37</v>
      </c>
      <c r="I4" s="43" t="s">
        <v>1167</v>
      </c>
      <c r="J4" s="71" t="s">
        <v>73</v>
      </c>
      <c r="K4" s="71">
        <v>200</v>
      </c>
      <c r="L4" s="43" t="s">
        <v>1168</v>
      </c>
      <c r="M4" s="49" t="s">
        <v>1169</v>
      </c>
      <c r="N4" s="50">
        <v>44923</v>
      </c>
      <c r="O4" s="68">
        <v>45275</v>
      </c>
      <c r="P4" s="43">
        <f>P16-N4</f>
        <v>352</v>
      </c>
      <c r="Q4" s="55">
        <f>SUM(Q5:Q25)</f>
        <v>7.5</v>
      </c>
      <c r="R4" s="55">
        <v>1.93</v>
      </c>
      <c r="S4" s="43"/>
      <c r="T4" s="55">
        <f>SUM(T5:T25)</f>
        <v>7.5</v>
      </c>
      <c r="U4" s="56">
        <v>3.85E-2</v>
      </c>
      <c r="V4" s="50"/>
      <c r="W4" s="43" t="s">
        <v>1170</v>
      </c>
      <c r="X4" s="77">
        <v>0.01</v>
      </c>
      <c r="Y4" s="43">
        <f>ROUNDDOWN(IF((O4-N4+1)*K4*X4/365&gt;R4,R4,(O4-N4+1)*K4*X4/365),2)</f>
        <v>1.93</v>
      </c>
      <c r="Z4" s="55">
        <f>R4-Y4</f>
        <v>0</v>
      </c>
      <c r="AA4" s="55"/>
      <c r="AB4" s="43" t="s">
        <v>61</v>
      </c>
      <c r="AD4" s="61">
        <f>(O4-N4+1)*K4*X4/365</f>
        <v>1.9341999999999999</v>
      </c>
    </row>
    <row r="5" spans="1:30" s="35" customFormat="1">
      <c r="A5" s="44"/>
      <c r="B5" s="44"/>
      <c r="C5" s="44"/>
      <c r="D5" s="44"/>
      <c r="E5" s="42"/>
      <c r="F5" s="44"/>
      <c r="G5" s="44"/>
      <c r="H5" s="42"/>
      <c r="I5" s="44"/>
      <c r="J5" s="42"/>
      <c r="K5" s="42"/>
      <c r="L5" s="44"/>
      <c r="M5" s="75"/>
      <c r="N5" s="58"/>
      <c r="O5" s="52"/>
      <c r="P5" s="75">
        <v>44947</v>
      </c>
      <c r="Q5" s="58">
        <v>0.51</v>
      </c>
      <c r="R5" s="44"/>
      <c r="S5" s="75">
        <v>44947</v>
      </c>
      <c r="T5" s="58">
        <f>(S5-N4)/360*$U$4*$K$4</f>
        <v>0.51</v>
      </c>
      <c r="U5" s="78">
        <f t="shared" ref="U5:U16" si="0">T5-Q5</f>
        <v>0</v>
      </c>
      <c r="V5" s="75">
        <v>45275</v>
      </c>
      <c r="W5" s="58">
        <v>200</v>
      </c>
      <c r="X5" s="42"/>
      <c r="Y5" s="44">
        <f>ROUNDDOWN((V5-N4)*K4*X4/365,2)</f>
        <v>1.92</v>
      </c>
      <c r="Z5" s="44"/>
      <c r="AA5" s="44"/>
      <c r="AB5" s="44"/>
    </row>
    <row r="6" spans="1:30" s="35" customFormat="1">
      <c r="A6" s="44"/>
      <c r="B6" s="44"/>
      <c r="C6" s="44"/>
      <c r="D6" s="44"/>
      <c r="E6" s="42"/>
      <c r="F6" s="44"/>
      <c r="G6" s="44"/>
      <c r="H6" s="42"/>
      <c r="I6" s="44"/>
      <c r="J6" s="42"/>
      <c r="K6" s="42"/>
      <c r="L6" s="44"/>
      <c r="M6" s="75"/>
      <c r="N6" s="58"/>
      <c r="O6" s="52"/>
      <c r="P6" s="75">
        <v>44978</v>
      </c>
      <c r="Q6" s="58">
        <v>0.66</v>
      </c>
      <c r="R6" s="44"/>
      <c r="S6" s="75">
        <v>44978</v>
      </c>
      <c r="T6" s="58">
        <f t="shared" ref="T6:T16" si="1">(S6-S5)*$K$4*$U$4/360</f>
        <v>0.66</v>
      </c>
      <c r="U6" s="78">
        <f t="shared" si="0"/>
        <v>0</v>
      </c>
      <c r="V6" s="75"/>
      <c r="W6" s="58"/>
      <c r="X6" s="42"/>
      <c r="Y6" s="44"/>
      <c r="Z6" s="44"/>
      <c r="AA6" s="44"/>
      <c r="AB6" s="44"/>
    </row>
    <row r="7" spans="1:30" s="35" customFormat="1">
      <c r="A7" s="44"/>
      <c r="B7" s="44"/>
      <c r="C7" s="44"/>
      <c r="D7" s="44"/>
      <c r="E7" s="42"/>
      <c r="F7" s="44"/>
      <c r="G7" s="44"/>
      <c r="H7" s="42"/>
      <c r="I7" s="44"/>
      <c r="J7" s="42"/>
      <c r="K7" s="42"/>
      <c r="L7" s="44"/>
      <c r="M7" s="75"/>
      <c r="N7" s="58"/>
      <c r="O7" s="52"/>
      <c r="P7" s="75">
        <v>45006</v>
      </c>
      <c r="Q7" s="58">
        <v>0.6</v>
      </c>
      <c r="R7" s="44"/>
      <c r="S7" s="75">
        <v>45006</v>
      </c>
      <c r="T7" s="58">
        <f t="shared" si="1"/>
        <v>0.6</v>
      </c>
      <c r="U7" s="78">
        <f t="shared" si="0"/>
        <v>0</v>
      </c>
      <c r="V7" s="75"/>
      <c r="W7" s="58"/>
      <c r="X7" s="42"/>
      <c r="Y7" s="44"/>
      <c r="Z7" s="44"/>
      <c r="AA7" s="44"/>
      <c r="AB7" s="44"/>
    </row>
    <row r="8" spans="1:30" s="35" customFormat="1">
      <c r="A8" s="44"/>
      <c r="B8" s="44"/>
      <c r="C8" s="44"/>
      <c r="D8" s="44"/>
      <c r="E8" s="42"/>
      <c r="F8" s="44"/>
      <c r="G8" s="44"/>
      <c r="H8" s="42"/>
      <c r="I8" s="44"/>
      <c r="J8" s="42"/>
      <c r="K8" s="42"/>
      <c r="L8" s="44"/>
      <c r="M8" s="75"/>
      <c r="N8" s="58"/>
      <c r="O8" s="52"/>
      <c r="P8" s="75">
        <v>45037</v>
      </c>
      <c r="Q8" s="58">
        <v>0.66</v>
      </c>
      <c r="R8" s="44"/>
      <c r="S8" s="75">
        <v>45037</v>
      </c>
      <c r="T8" s="58">
        <f t="shared" si="1"/>
        <v>0.66</v>
      </c>
      <c r="U8" s="78">
        <f t="shared" si="0"/>
        <v>0</v>
      </c>
      <c r="V8" s="75"/>
      <c r="W8" s="58"/>
      <c r="X8" s="42"/>
      <c r="Y8" s="44"/>
      <c r="Z8" s="44"/>
      <c r="AA8" s="44"/>
      <c r="AB8" s="44"/>
    </row>
    <row r="9" spans="1:30" s="35" customFormat="1">
      <c r="A9" s="44"/>
      <c r="B9" s="44"/>
      <c r="C9" s="44"/>
      <c r="D9" s="44"/>
      <c r="E9" s="42"/>
      <c r="F9" s="44"/>
      <c r="G9" s="44"/>
      <c r="H9" s="42"/>
      <c r="I9" s="44"/>
      <c r="J9" s="42"/>
      <c r="K9" s="42"/>
      <c r="L9" s="44"/>
      <c r="M9" s="75"/>
      <c r="N9" s="58"/>
      <c r="O9" s="52"/>
      <c r="P9" s="75">
        <v>45067</v>
      </c>
      <c r="Q9" s="58">
        <v>0.64</v>
      </c>
      <c r="R9" s="44"/>
      <c r="S9" s="75">
        <v>45067</v>
      </c>
      <c r="T9" s="58">
        <f t="shared" si="1"/>
        <v>0.64</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75"/>
      <c r="N10" s="58"/>
      <c r="O10" s="52"/>
      <c r="P10" s="75">
        <v>45098</v>
      </c>
      <c r="Q10" s="58">
        <v>0.66</v>
      </c>
      <c r="R10" s="44"/>
      <c r="S10" s="75">
        <v>45098</v>
      </c>
      <c r="T10" s="58">
        <f t="shared" si="1"/>
        <v>0.66</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75"/>
      <c r="N11" s="58"/>
      <c r="O11" s="52"/>
      <c r="P11" s="75">
        <v>45128</v>
      </c>
      <c r="Q11" s="58">
        <v>0.64</v>
      </c>
      <c r="R11" s="44"/>
      <c r="S11" s="75">
        <v>45128</v>
      </c>
      <c r="T11" s="58">
        <f t="shared" si="1"/>
        <v>0.64</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75"/>
      <c r="N12" s="58"/>
      <c r="O12" s="52"/>
      <c r="P12" s="75">
        <v>45159</v>
      </c>
      <c r="Q12" s="58">
        <v>0.66</v>
      </c>
      <c r="R12" s="44"/>
      <c r="S12" s="75">
        <v>45159</v>
      </c>
      <c r="T12" s="58">
        <f t="shared" si="1"/>
        <v>0.66</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75"/>
      <c r="N13" s="58"/>
      <c r="O13" s="52"/>
      <c r="P13" s="75">
        <v>45190</v>
      </c>
      <c r="Q13" s="58">
        <v>0.66</v>
      </c>
      <c r="R13" s="44"/>
      <c r="S13" s="75">
        <v>45190</v>
      </c>
      <c r="T13" s="58">
        <f t="shared" si="1"/>
        <v>0.66</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75"/>
      <c r="N14" s="58"/>
      <c r="O14" s="52"/>
      <c r="P14" s="75">
        <v>45220</v>
      </c>
      <c r="Q14" s="58">
        <v>0.64</v>
      </c>
      <c r="R14" s="44"/>
      <c r="S14" s="75">
        <v>45220</v>
      </c>
      <c r="T14" s="58">
        <f t="shared" si="1"/>
        <v>0.64</v>
      </c>
      <c r="U14" s="78">
        <f t="shared" si="0"/>
        <v>0</v>
      </c>
      <c r="V14" s="75"/>
      <c r="W14" s="58"/>
      <c r="X14" s="42"/>
      <c r="Y14" s="44"/>
      <c r="Z14" s="44"/>
      <c r="AA14" s="44"/>
      <c r="AB14" s="44"/>
    </row>
    <row r="15" spans="1:30" s="35" customFormat="1">
      <c r="A15" s="44"/>
      <c r="B15" s="44"/>
      <c r="C15" s="44"/>
      <c r="D15" s="44"/>
      <c r="E15" s="42"/>
      <c r="F15" s="44"/>
      <c r="G15" s="44"/>
      <c r="H15" s="42"/>
      <c r="I15" s="44"/>
      <c r="J15" s="42"/>
      <c r="K15" s="42"/>
      <c r="L15" s="44"/>
      <c r="M15" s="75"/>
      <c r="N15" s="58"/>
      <c r="O15" s="52"/>
      <c r="P15" s="75">
        <v>45251</v>
      </c>
      <c r="Q15" s="58">
        <v>0.66</v>
      </c>
      <c r="R15" s="44"/>
      <c r="S15" s="75">
        <v>45251</v>
      </c>
      <c r="T15" s="58">
        <f t="shared" si="1"/>
        <v>0.66</v>
      </c>
      <c r="U15" s="78">
        <f t="shared" si="0"/>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45275</v>
      </c>
      <c r="Q16" s="58">
        <v>0.51</v>
      </c>
      <c r="R16" s="44"/>
      <c r="S16" s="75">
        <v>45275</v>
      </c>
      <c r="T16" s="58">
        <f t="shared" si="1"/>
        <v>0.51</v>
      </c>
      <c r="U16" s="78">
        <f t="shared" si="0"/>
        <v>0</v>
      </c>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53"/>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200</v>
      </c>
      <c r="L114" s="43"/>
      <c r="M114" s="49"/>
      <c r="N114" s="50"/>
      <c r="O114" s="50"/>
      <c r="P114" s="76"/>
      <c r="Q114" s="43"/>
      <c r="R114" s="43">
        <f>R92+R70+R48+R26++R4</f>
        <v>1.93</v>
      </c>
      <c r="S114" s="43"/>
      <c r="T114" s="43"/>
      <c r="U114" s="43"/>
      <c r="V114" s="43"/>
      <c r="W114" s="43"/>
      <c r="X114" s="71"/>
      <c r="Y114" s="43">
        <f>Y92+Y70+Y48+Y26++Y4</f>
        <v>1.93</v>
      </c>
      <c r="Z114" s="43"/>
      <c r="AA114" s="43"/>
      <c r="AB114" s="43"/>
    </row>
    <row r="115" spans="1:28">
      <c r="I115" s="36" t="s">
        <v>49</v>
      </c>
      <c r="K115" s="72">
        <f>IF(K114&gt;3000,K116,K114)</f>
        <v>200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AE116"/>
  <sheetViews>
    <sheetView topLeftCell="K1" zoomScale="80" zoomScaleNormal="80" workbookViewId="0">
      <pane ySplit="3" topLeftCell="A4" activePane="bottomLeft" state="frozen"/>
      <selection pane="bottomLeft" activeCell="O4" sqref="O4"/>
    </sheetView>
  </sheetViews>
  <sheetFormatPr defaultColWidth="9" defaultRowHeight="14"/>
  <cols>
    <col min="1" max="6" width="9" style="36"/>
    <col min="7" max="7" width="9" style="36" customWidth="1"/>
    <col min="8"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1" ht="25">
      <c r="B1" s="163" t="str">
        <f>B4&amp;AC1</f>
        <v>四川海思科制药有限公司审计明细表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1"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1" ht="50.15"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1" s="34" customFormat="1" ht="132" customHeight="1">
      <c r="A4" s="43">
        <v>1</v>
      </c>
      <c r="B4" s="43" t="s">
        <v>702</v>
      </c>
      <c r="C4" s="43" t="s">
        <v>1139</v>
      </c>
      <c r="D4" s="43" t="s">
        <v>1171</v>
      </c>
      <c r="E4" s="43" t="s">
        <v>146</v>
      </c>
      <c r="F4" s="43" t="s">
        <v>1152</v>
      </c>
      <c r="G4" s="43" t="s">
        <v>1172</v>
      </c>
      <c r="H4" s="43" t="s">
        <v>156</v>
      </c>
      <c r="I4" s="43" t="s">
        <v>1173</v>
      </c>
      <c r="J4" s="71" t="s">
        <v>1174</v>
      </c>
      <c r="K4" s="71">
        <v>3000</v>
      </c>
      <c r="L4" s="43" t="s">
        <v>1175</v>
      </c>
      <c r="M4" s="49" t="s">
        <v>1176</v>
      </c>
      <c r="N4" s="50">
        <v>44741</v>
      </c>
      <c r="O4" s="50">
        <v>44916</v>
      </c>
      <c r="P4" s="43">
        <f>P10-N4</f>
        <v>175</v>
      </c>
      <c r="Q4" s="55">
        <f>SUM(Q5:Q25)</f>
        <v>68.540000000000006</v>
      </c>
      <c r="R4" s="55">
        <v>28.77</v>
      </c>
      <c r="S4" s="43"/>
      <c r="T4" s="55">
        <f>SUM(T5:T25)</f>
        <v>68.540000000000006</v>
      </c>
      <c r="U4" s="56">
        <v>4.7E-2</v>
      </c>
      <c r="V4" s="50"/>
      <c r="W4" s="43" t="s">
        <v>42</v>
      </c>
      <c r="X4" s="57">
        <v>0.02</v>
      </c>
      <c r="Y4" s="43">
        <f>ROUNDDOWN(IF((O4-N4+1)*K4*X4/365&gt;R4,R4,(O4-N4+1)*K4*X4/365),2)</f>
        <v>28.77</v>
      </c>
      <c r="Z4" s="55">
        <f>R4-Y4</f>
        <v>0</v>
      </c>
      <c r="AA4" s="55"/>
      <c r="AB4" s="43" t="s">
        <v>61</v>
      </c>
      <c r="AD4" s="61">
        <f>(O4-N4+1)*K4*X4/365</f>
        <v>28.9315</v>
      </c>
    </row>
    <row r="5" spans="1:31" s="35" customFormat="1">
      <c r="A5" s="44"/>
      <c r="B5" s="44"/>
      <c r="C5" s="44"/>
      <c r="D5" s="44"/>
      <c r="E5" s="44"/>
      <c r="F5" s="44"/>
      <c r="G5" s="44"/>
      <c r="H5" s="44"/>
      <c r="I5" s="44"/>
      <c r="J5" s="42"/>
      <c r="K5" s="42"/>
      <c r="L5" s="44"/>
      <c r="M5" s="51"/>
      <c r="N5" s="52">
        <v>44741</v>
      </c>
      <c r="O5" s="68">
        <v>45836</v>
      </c>
      <c r="P5" s="75">
        <v>44763</v>
      </c>
      <c r="Q5" s="58">
        <v>8.6199999999999992</v>
      </c>
      <c r="R5" s="44"/>
      <c r="S5" s="75">
        <v>44763</v>
      </c>
      <c r="T5" s="58">
        <f>(S5-N4)/360*$U$4*$K$4</f>
        <v>8.6199999999999992</v>
      </c>
      <c r="U5" s="78">
        <f t="shared" ref="U5:U10" si="0">T5-Q5</f>
        <v>0</v>
      </c>
      <c r="V5" s="75"/>
      <c r="W5" s="58"/>
      <c r="X5" s="44"/>
      <c r="Y5" s="44">
        <f>ROUNDDOWN((V5-N4)*K4*X4/365,2)</f>
        <v>-7354.68</v>
      </c>
      <c r="Z5" s="44"/>
      <c r="AA5" s="44"/>
      <c r="AB5" s="44"/>
      <c r="AD5" s="35" t="s">
        <v>1177</v>
      </c>
      <c r="AE5" s="35">
        <v>28.77</v>
      </c>
    </row>
    <row r="6" spans="1:31" s="35" customFormat="1">
      <c r="A6" s="44"/>
      <c r="B6" s="44"/>
      <c r="C6" s="44"/>
      <c r="D6" s="44"/>
      <c r="E6" s="44"/>
      <c r="F6" s="44"/>
      <c r="G6" s="44"/>
      <c r="H6" s="44"/>
      <c r="I6" s="44"/>
      <c r="J6" s="42"/>
      <c r="K6" s="42"/>
      <c r="L6" s="44"/>
      <c r="M6" s="51"/>
      <c r="N6" s="52"/>
      <c r="O6" s="52"/>
      <c r="P6" s="75">
        <v>44794</v>
      </c>
      <c r="Q6" s="58">
        <v>12.14</v>
      </c>
      <c r="R6" s="44"/>
      <c r="S6" s="75">
        <v>44794</v>
      </c>
      <c r="T6" s="58">
        <f>(S6-S5)*$K$4*$U$4/360</f>
        <v>12.14</v>
      </c>
      <c r="U6" s="78">
        <f t="shared" si="0"/>
        <v>0</v>
      </c>
      <c r="V6" s="75"/>
      <c r="W6" s="58"/>
      <c r="X6" s="44"/>
      <c r="Y6" s="44"/>
      <c r="Z6" s="44"/>
      <c r="AA6" s="44"/>
      <c r="AB6" s="44"/>
    </row>
    <row r="7" spans="1:31" s="35" customFormat="1">
      <c r="A7" s="44"/>
      <c r="B7" s="44"/>
      <c r="C7" s="44"/>
      <c r="D7" s="44"/>
      <c r="E7" s="44"/>
      <c r="F7" s="44"/>
      <c r="G7" s="44"/>
      <c r="H7" s="44"/>
      <c r="I7" s="44"/>
      <c r="J7" s="42"/>
      <c r="K7" s="42"/>
      <c r="L7" s="44"/>
      <c r="M7" s="51"/>
      <c r="N7" s="52"/>
      <c r="O7" s="52"/>
      <c r="P7" s="75">
        <v>44825</v>
      </c>
      <c r="Q7" s="58">
        <v>12.14</v>
      </c>
      <c r="R7" s="44"/>
      <c r="S7" s="75">
        <v>44825</v>
      </c>
      <c r="T7" s="58">
        <f>(S7-S6)*$K$4*$U$4/360</f>
        <v>12.14</v>
      </c>
      <c r="U7" s="78">
        <f t="shared" si="0"/>
        <v>0</v>
      </c>
      <c r="V7" s="75"/>
      <c r="W7" s="58"/>
      <c r="X7" s="44"/>
      <c r="Y7" s="44"/>
      <c r="Z7" s="44"/>
      <c r="AA7" s="44"/>
      <c r="AB7" s="44"/>
    </row>
    <row r="8" spans="1:31" s="35" customFormat="1">
      <c r="A8" s="44"/>
      <c r="B8" s="44"/>
      <c r="C8" s="44"/>
      <c r="D8" s="44"/>
      <c r="E8" s="44"/>
      <c r="F8" s="44"/>
      <c r="G8" s="44"/>
      <c r="H8" s="44"/>
      <c r="I8" s="44"/>
      <c r="J8" s="42"/>
      <c r="K8" s="42"/>
      <c r="L8" s="44"/>
      <c r="M8" s="51"/>
      <c r="N8" s="52"/>
      <c r="O8" s="52"/>
      <c r="P8" s="75">
        <v>44855</v>
      </c>
      <c r="Q8" s="58">
        <v>11.75</v>
      </c>
      <c r="R8" s="44"/>
      <c r="S8" s="75">
        <v>44855</v>
      </c>
      <c r="T8" s="58">
        <f>(S8-S7)*$K$4*$U$4/360</f>
        <v>11.75</v>
      </c>
      <c r="U8" s="78">
        <f t="shared" si="0"/>
        <v>0</v>
      </c>
      <c r="V8" s="75"/>
      <c r="W8" s="58"/>
      <c r="X8" s="44"/>
      <c r="Y8" s="44"/>
      <c r="Z8" s="44"/>
      <c r="AA8" s="44"/>
      <c r="AB8" s="44"/>
    </row>
    <row r="9" spans="1:31" s="35" customFormat="1">
      <c r="A9" s="44"/>
      <c r="B9" s="44"/>
      <c r="C9" s="44"/>
      <c r="D9" s="44"/>
      <c r="E9" s="44"/>
      <c r="F9" s="44"/>
      <c r="G9" s="44"/>
      <c r="H9" s="44"/>
      <c r="I9" s="44"/>
      <c r="J9" s="42"/>
      <c r="K9" s="42"/>
      <c r="L9" s="44"/>
      <c r="M9" s="51"/>
      <c r="N9" s="52"/>
      <c r="O9" s="52"/>
      <c r="P9" s="75">
        <v>44886</v>
      </c>
      <c r="Q9" s="58">
        <v>12.14</v>
      </c>
      <c r="R9" s="44"/>
      <c r="S9" s="75">
        <v>44886</v>
      </c>
      <c r="T9" s="58">
        <f>(S9-S8)*$K$4*$U$4/360</f>
        <v>12.14</v>
      </c>
      <c r="U9" s="78">
        <f t="shared" si="0"/>
        <v>0</v>
      </c>
      <c r="V9" s="75"/>
      <c r="W9" s="58"/>
      <c r="X9" s="44"/>
      <c r="Y9" s="44"/>
      <c r="Z9" s="44"/>
      <c r="AA9" s="44"/>
      <c r="AB9" s="44"/>
    </row>
    <row r="10" spans="1:31" s="35" customFormat="1">
      <c r="A10" s="44"/>
      <c r="B10" s="44"/>
      <c r="C10" s="44"/>
      <c r="D10" s="44"/>
      <c r="E10" s="44"/>
      <c r="F10" s="44"/>
      <c r="G10" s="44"/>
      <c r="H10" s="44"/>
      <c r="I10" s="44"/>
      <c r="J10" s="42"/>
      <c r="K10" s="42"/>
      <c r="L10" s="44"/>
      <c r="M10" s="51"/>
      <c r="N10" s="52"/>
      <c r="O10" s="52"/>
      <c r="P10" s="75">
        <v>44916</v>
      </c>
      <c r="Q10" s="58">
        <v>11.75</v>
      </c>
      <c r="R10" s="44"/>
      <c r="S10" s="75">
        <v>44916</v>
      </c>
      <c r="T10" s="58">
        <f>(S10-S9)*$K$4*$U$4/360</f>
        <v>11.75</v>
      </c>
      <c r="U10" s="78">
        <f t="shared" si="0"/>
        <v>0</v>
      </c>
      <c r="V10" s="75"/>
      <c r="W10" s="58"/>
      <c r="X10" s="44"/>
      <c r="Y10" s="44"/>
      <c r="Z10" s="44"/>
      <c r="AA10" s="44"/>
      <c r="AB10" s="44"/>
    </row>
    <row r="11" spans="1:31" s="35" customFormat="1" hidden="1">
      <c r="A11" s="44"/>
      <c r="B11" s="44"/>
      <c r="C11" s="44"/>
      <c r="D11" s="44"/>
      <c r="E11" s="44"/>
      <c r="F11" s="44"/>
      <c r="G11" s="44"/>
      <c r="H11" s="44"/>
      <c r="I11" s="44"/>
      <c r="J11" s="42"/>
      <c r="K11" s="42"/>
      <c r="L11" s="44"/>
      <c r="M11" s="51"/>
      <c r="N11" s="52"/>
      <c r="O11" s="52"/>
      <c r="P11" s="75"/>
      <c r="Q11" s="58"/>
      <c r="R11" s="44"/>
      <c r="S11" s="75"/>
      <c r="T11" s="58"/>
      <c r="U11" s="78"/>
      <c r="V11" s="75"/>
      <c r="W11" s="58"/>
      <c r="X11" s="44"/>
      <c r="Y11" s="44"/>
      <c r="Z11" s="44"/>
      <c r="AA11" s="44"/>
      <c r="AB11" s="44"/>
    </row>
    <row r="12" spans="1:31" s="35" customFormat="1" hidden="1">
      <c r="A12" s="44"/>
      <c r="B12" s="44"/>
      <c r="C12" s="44"/>
      <c r="D12" s="44"/>
      <c r="E12" s="44"/>
      <c r="F12" s="44"/>
      <c r="G12" s="44"/>
      <c r="H12" s="44"/>
      <c r="I12" s="44"/>
      <c r="J12" s="42"/>
      <c r="K12" s="42"/>
      <c r="L12" s="44"/>
      <c r="M12" s="51"/>
      <c r="N12" s="52"/>
      <c r="O12" s="52"/>
      <c r="P12" s="75"/>
      <c r="Q12" s="58"/>
      <c r="R12" s="44"/>
      <c r="S12" s="75"/>
      <c r="T12" s="58"/>
      <c r="U12" s="78"/>
      <c r="V12" s="75"/>
      <c r="W12" s="58"/>
      <c r="X12" s="44"/>
      <c r="Y12" s="44"/>
      <c r="Z12" s="44"/>
      <c r="AA12" s="44"/>
      <c r="AB12" s="44"/>
    </row>
    <row r="13" spans="1:31" s="35" customFormat="1" hidden="1">
      <c r="A13" s="44"/>
      <c r="B13" s="44"/>
      <c r="C13" s="44"/>
      <c r="D13" s="44"/>
      <c r="E13" s="44"/>
      <c r="F13" s="44"/>
      <c r="G13" s="44"/>
      <c r="H13" s="44"/>
      <c r="I13" s="44"/>
      <c r="J13" s="42"/>
      <c r="K13" s="42"/>
      <c r="L13" s="44"/>
      <c r="M13" s="51"/>
      <c r="N13" s="52"/>
      <c r="O13" s="52"/>
      <c r="P13" s="75"/>
      <c r="Q13" s="58"/>
      <c r="R13" s="44"/>
      <c r="S13" s="75"/>
      <c r="T13" s="58"/>
      <c r="U13" s="78"/>
      <c r="V13" s="75"/>
      <c r="W13" s="58"/>
      <c r="X13" s="44"/>
      <c r="Y13" s="44"/>
      <c r="Z13" s="44"/>
      <c r="AA13" s="44"/>
      <c r="AB13" s="44"/>
    </row>
    <row r="14" spans="1:31" s="35" customFormat="1" hidden="1">
      <c r="A14" s="44"/>
      <c r="B14" s="44"/>
      <c r="C14" s="44"/>
      <c r="D14" s="44"/>
      <c r="E14" s="44"/>
      <c r="F14" s="44"/>
      <c r="G14" s="44"/>
      <c r="H14" s="44"/>
      <c r="I14" s="44"/>
      <c r="J14" s="42"/>
      <c r="K14" s="42"/>
      <c r="L14" s="44"/>
      <c r="M14" s="51"/>
      <c r="N14" s="52"/>
      <c r="O14" s="52"/>
      <c r="P14" s="75"/>
      <c r="Q14" s="58"/>
      <c r="R14" s="44"/>
      <c r="S14" s="75"/>
      <c r="T14" s="58"/>
      <c r="U14" s="78"/>
      <c r="V14" s="75"/>
      <c r="W14" s="58"/>
      <c r="X14" s="44"/>
      <c r="Y14" s="44"/>
      <c r="Z14" s="44"/>
      <c r="AA14" s="44"/>
      <c r="AB14" s="44"/>
    </row>
    <row r="15" spans="1:31" s="35" customFormat="1" hidden="1">
      <c r="A15" s="44"/>
      <c r="B15" s="44"/>
      <c r="C15" s="44"/>
      <c r="D15" s="44"/>
      <c r="E15" s="44"/>
      <c r="F15" s="44"/>
      <c r="G15" s="44"/>
      <c r="H15" s="44"/>
      <c r="I15" s="44"/>
      <c r="J15" s="42"/>
      <c r="K15" s="42"/>
      <c r="L15" s="44"/>
      <c r="M15" s="51"/>
      <c r="N15" s="52"/>
      <c r="O15" s="52"/>
      <c r="P15" s="75"/>
      <c r="Q15" s="58"/>
      <c r="R15" s="44"/>
      <c r="S15" s="75"/>
      <c r="T15" s="58"/>
      <c r="U15" s="78"/>
      <c r="V15" s="75"/>
      <c r="W15" s="58"/>
      <c r="X15" s="44"/>
      <c r="Y15" s="44"/>
      <c r="Z15" s="44"/>
      <c r="AA15" s="44"/>
      <c r="AB15" s="44"/>
    </row>
    <row r="16" spans="1:31" s="35" customFormat="1" hidden="1">
      <c r="A16" s="44"/>
      <c r="B16" s="44"/>
      <c r="C16" s="44"/>
      <c r="D16" s="44"/>
      <c r="E16" s="44"/>
      <c r="F16" s="44"/>
      <c r="G16" s="44"/>
      <c r="H16" s="44"/>
      <c r="I16" s="44"/>
      <c r="J16" s="42"/>
      <c r="K16" s="42"/>
      <c r="L16" s="44"/>
      <c r="M16" s="51"/>
      <c r="N16" s="52"/>
      <c r="O16" s="52"/>
      <c r="P16" s="75"/>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2"/>
      <c r="K17" s="42"/>
      <c r="L17" s="44"/>
      <c r="M17" s="51"/>
      <c r="N17" s="52"/>
      <c r="O17" s="52"/>
      <c r="P17" s="75"/>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2"/>
      <c r="K18" s="42"/>
      <c r="L18" s="44"/>
      <c r="M18" s="51"/>
      <c r="N18" s="52"/>
      <c r="O18" s="52"/>
      <c r="P18" s="75"/>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2"/>
      <c r="K19" s="42"/>
      <c r="L19" s="44"/>
      <c r="M19" s="51"/>
      <c r="N19" s="52"/>
      <c r="O19" s="52"/>
      <c r="P19" s="75"/>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2"/>
      <c r="K20" s="42"/>
      <c r="L20" s="44"/>
      <c r="M20" s="51"/>
      <c r="N20" s="52"/>
      <c r="O20" s="52"/>
      <c r="P20" s="75"/>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2"/>
      <c r="K21" s="42"/>
      <c r="L21" s="44"/>
      <c r="M21" s="51"/>
      <c r="N21" s="52"/>
      <c r="O21" s="52"/>
      <c r="P21" s="75"/>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2"/>
      <c r="K22" s="42"/>
      <c r="L22" s="44"/>
      <c r="M22" s="51"/>
      <c r="N22" s="52"/>
      <c r="O22" s="52"/>
      <c r="P22" s="75"/>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2"/>
      <c r="K23" s="42"/>
      <c r="L23" s="44"/>
      <c r="M23" s="51"/>
      <c r="N23" s="52"/>
      <c r="O23" s="52"/>
      <c r="P23" s="75"/>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2"/>
      <c r="K24" s="42"/>
      <c r="L24" s="44"/>
      <c r="M24" s="51"/>
      <c r="N24" s="52"/>
      <c r="O24" s="52"/>
      <c r="P24" s="75"/>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2"/>
      <c r="K25" s="42"/>
      <c r="L25" s="44"/>
      <c r="M25" s="51"/>
      <c r="N25" s="52"/>
      <c r="O25" s="52"/>
      <c r="P25" s="75"/>
      <c r="Q25" s="58"/>
      <c r="R25" s="44"/>
      <c r="S25" s="53"/>
      <c r="T25" s="58"/>
      <c r="U25" s="58"/>
      <c r="V25" s="44"/>
      <c r="W25" s="44"/>
      <c r="X25" s="44"/>
      <c r="Y25" s="44"/>
      <c r="Z25" s="44"/>
      <c r="AA25" s="44"/>
      <c r="AB25" s="44"/>
    </row>
    <row r="26" spans="1:30" s="34" customFormat="1" ht="143.15" customHeight="1">
      <c r="A26" s="43">
        <v>2</v>
      </c>
      <c r="B26" s="43" t="s">
        <v>702</v>
      </c>
      <c r="C26" s="43" t="s">
        <v>1139</v>
      </c>
      <c r="D26" s="43" t="s">
        <v>1171</v>
      </c>
      <c r="E26" s="43" t="s">
        <v>146</v>
      </c>
      <c r="F26" s="43" t="s">
        <v>1152</v>
      </c>
      <c r="G26" s="43" t="s">
        <v>1172</v>
      </c>
      <c r="H26" s="43" t="s">
        <v>156</v>
      </c>
      <c r="I26" s="43" t="s">
        <v>1173</v>
      </c>
      <c r="J26" s="71" t="s">
        <v>1174</v>
      </c>
      <c r="K26" s="71">
        <v>3000</v>
      </c>
      <c r="L26" s="43" t="s">
        <v>1175</v>
      </c>
      <c r="M26" s="49" t="s">
        <v>1176</v>
      </c>
      <c r="N26" s="50">
        <v>44917</v>
      </c>
      <c r="O26" s="50">
        <v>45281</v>
      </c>
      <c r="P26" s="43">
        <f>P38-N26</f>
        <v>364</v>
      </c>
      <c r="Q26" s="55">
        <f>SUM(Q27:Q38)</f>
        <v>139.33000000000001</v>
      </c>
      <c r="R26" s="43">
        <v>60</v>
      </c>
      <c r="S26" s="43"/>
      <c r="T26" s="55">
        <f>SUM(T27:T38)</f>
        <v>142.56</v>
      </c>
      <c r="U26" s="56">
        <v>4.7E-2</v>
      </c>
      <c r="V26" s="50"/>
      <c r="W26" s="43" t="s">
        <v>42</v>
      </c>
      <c r="X26" s="57">
        <v>0.02</v>
      </c>
      <c r="Y26" s="43">
        <f>ROUNDDOWN(IF((O26-N26+1)*K26*X26/365&gt;R26,R26,(O26-N26+1)*K26*X26/365),2)</f>
        <v>60</v>
      </c>
      <c r="Z26" s="100">
        <f>R26-Y26</f>
        <v>0</v>
      </c>
      <c r="AA26" s="43"/>
      <c r="AB26" s="43" t="s">
        <v>61</v>
      </c>
      <c r="AD26" s="61">
        <f>(O26-N26)*K26*X26/365</f>
        <v>59.835599999999999</v>
      </c>
    </row>
    <row r="27" spans="1:30" s="35" customFormat="1">
      <c r="A27" s="44"/>
      <c r="B27" s="44"/>
      <c r="C27" s="44"/>
      <c r="D27" s="44"/>
      <c r="E27" s="44"/>
      <c r="F27" s="44"/>
      <c r="G27" s="44"/>
      <c r="H27" s="44"/>
      <c r="I27" s="44"/>
      <c r="J27" s="42"/>
      <c r="K27" s="42"/>
      <c r="L27" s="44"/>
      <c r="M27" s="51"/>
      <c r="N27" s="52"/>
      <c r="O27" s="68">
        <v>45836</v>
      </c>
      <c r="P27" s="75">
        <v>44947</v>
      </c>
      <c r="Q27" s="58">
        <v>12.14</v>
      </c>
      <c r="R27" s="44"/>
      <c r="S27" s="75">
        <v>44947</v>
      </c>
      <c r="T27" s="58">
        <f>(S27-N26)/360*$U$26*$K$26</f>
        <v>11.75</v>
      </c>
      <c r="U27" s="94">
        <f t="shared" ref="U27:U38" si="1">T27-Q27</f>
        <v>-0.39</v>
      </c>
      <c r="V27" s="75"/>
      <c r="W27" s="58"/>
      <c r="X27" s="44"/>
      <c r="Y27" s="62">
        <f>ROUNDUP((V27-N26)*K26*X26/365,2)</f>
        <v>-7383.62</v>
      </c>
      <c r="Z27" s="44"/>
      <c r="AA27" s="44"/>
      <c r="AB27" s="44"/>
    </row>
    <row r="28" spans="1:30" s="35" customFormat="1">
      <c r="A28" s="44"/>
      <c r="B28" s="44"/>
      <c r="C28" s="44"/>
      <c r="D28" s="44"/>
      <c r="E28" s="44"/>
      <c r="F28" s="44"/>
      <c r="G28" s="44"/>
      <c r="H28" s="44"/>
      <c r="I28" s="44"/>
      <c r="J28" s="42"/>
      <c r="K28" s="42"/>
      <c r="L28" s="75"/>
      <c r="M28" s="51"/>
      <c r="N28" s="52"/>
      <c r="O28" s="52"/>
      <c r="P28" s="75">
        <v>44978</v>
      </c>
      <c r="Q28" s="58">
        <v>12.14</v>
      </c>
      <c r="R28" s="44"/>
      <c r="S28" s="75">
        <v>44978</v>
      </c>
      <c r="T28" s="58">
        <f t="shared" ref="T28:T38" si="2">(S28-S27)*$U$26*$K$26/360</f>
        <v>12.14</v>
      </c>
      <c r="U28" s="78">
        <f t="shared" si="1"/>
        <v>0</v>
      </c>
      <c r="V28" s="75"/>
      <c r="W28" s="58"/>
      <c r="X28" s="44"/>
      <c r="Y28" s="62"/>
      <c r="Z28" s="44"/>
      <c r="AA28" s="44"/>
      <c r="AB28" s="44"/>
    </row>
    <row r="29" spans="1:30" s="35" customFormat="1">
      <c r="A29" s="44"/>
      <c r="B29" s="44"/>
      <c r="C29" s="44"/>
      <c r="D29" s="44"/>
      <c r="E29" s="44"/>
      <c r="F29" s="44"/>
      <c r="G29" s="44"/>
      <c r="H29" s="44"/>
      <c r="I29" s="44"/>
      <c r="J29" s="42"/>
      <c r="K29" s="42"/>
      <c r="L29" s="75"/>
      <c r="M29" s="51"/>
      <c r="N29" s="52"/>
      <c r="O29" s="52"/>
      <c r="P29" s="75">
        <v>45006</v>
      </c>
      <c r="Q29" s="58">
        <v>10.97</v>
      </c>
      <c r="R29" s="44"/>
      <c r="S29" s="75">
        <v>45006</v>
      </c>
      <c r="T29" s="58">
        <f t="shared" si="2"/>
        <v>10.97</v>
      </c>
      <c r="U29" s="78">
        <f t="shared" si="1"/>
        <v>0</v>
      </c>
      <c r="V29" s="75"/>
      <c r="W29" s="58"/>
      <c r="X29" s="44"/>
      <c r="Y29" s="44"/>
      <c r="Z29" s="44"/>
      <c r="AA29" s="44"/>
      <c r="AB29" s="44"/>
    </row>
    <row r="30" spans="1:30" s="35" customFormat="1">
      <c r="A30" s="44"/>
      <c r="B30" s="44"/>
      <c r="C30" s="44"/>
      <c r="D30" s="44"/>
      <c r="E30" s="44"/>
      <c r="F30" s="44"/>
      <c r="G30" s="44"/>
      <c r="H30" s="44"/>
      <c r="I30" s="44"/>
      <c r="J30" s="42"/>
      <c r="K30" s="42"/>
      <c r="L30" s="75"/>
      <c r="M30" s="51"/>
      <c r="N30" s="52"/>
      <c r="O30" s="52"/>
      <c r="P30" s="75">
        <v>45037</v>
      </c>
      <c r="Q30" s="58">
        <v>12.14</v>
      </c>
      <c r="R30" s="44"/>
      <c r="S30" s="75">
        <v>45037</v>
      </c>
      <c r="T30" s="58">
        <f t="shared" si="2"/>
        <v>12.14</v>
      </c>
      <c r="U30" s="78">
        <f t="shared" si="1"/>
        <v>0</v>
      </c>
      <c r="V30" s="75"/>
      <c r="W30" s="58"/>
      <c r="X30" s="44"/>
      <c r="Y30" s="44"/>
      <c r="Z30" s="44"/>
      <c r="AA30" s="44"/>
      <c r="AB30" s="44"/>
    </row>
    <row r="31" spans="1:30" s="35" customFormat="1">
      <c r="A31" s="44"/>
      <c r="B31" s="44"/>
      <c r="C31" s="44"/>
      <c r="D31" s="44"/>
      <c r="E31" s="44"/>
      <c r="F31" s="44"/>
      <c r="G31" s="44"/>
      <c r="H31" s="44"/>
      <c r="I31" s="44"/>
      <c r="J31" s="42"/>
      <c r="K31" s="42"/>
      <c r="L31" s="75"/>
      <c r="M31" s="51"/>
      <c r="N31" s="52"/>
      <c r="O31" s="52"/>
      <c r="P31" s="75">
        <v>45067</v>
      </c>
      <c r="Q31" s="58">
        <v>11.75</v>
      </c>
      <c r="R31" s="44"/>
      <c r="S31" s="75">
        <v>45067</v>
      </c>
      <c r="T31" s="58">
        <f t="shared" si="2"/>
        <v>11.75</v>
      </c>
      <c r="U31" s="78">
        <f t="shared" si="1"/>
        <v>0</v>
      </c>
      <c r="V31" s="75"/>
      <c r="W31" s="58"/>
      <c r="X31" s="44"/>
      <c r="Y31" s="44"/>
      <c r="Z31" s="44"/>
      <c r="AA31" s="44"/>
      <c r="AB31" s="44"/>
    </row>
    <row r="32" spans="1:30" s="35" customFormat="1">
      <c r="A32" s="44"/>
      <c r="B32" s="44"/>
      <c r="C32" s="44"/>
      <c r="D32" s="44"/>
      <c r="E32" s="44"/>
      <c r="F32" s="44"/>
      <c r="G32" s="44"/>
      <c r="H32" s="44"/>
      <c r="I32" s="44"/>
      <c r="J32" s="42"/>
      <c r="K32" s="42"/>
      <c r="L32" s="75"/>
      <c r="M32" s="51"/>
      <c r="N32" s="52"/>
      <c r="O32" s="52"/>
      <c r="P32" s="75">
        <v>45098</v>
      </c>
      <c r="Q32" s="58">
        <v>12.14</v>
      </c>
      <c r="R32" s="44"/>
      <c r="S32" s="75">
        <v>45098</v>
      </c>
      <c r="T32" s="58">
        <f t="shared" si="2"/>
        <v>12.14</v>
      </c>
      <c r="U32" s="78">
        <f t="shared" si="1"/>
        <v>0</v>
      </c>
      <c r="V32" s="75"/>
      <c r="W32" s="58"/>
      <c r="X32" s="44"/>
      <c r="Y32" s="44"/>
      <c r="Z32" s="44"/>
      <c r="AA32" s="44"/>
      <c r="AB32" s="44"/>
    </row>
    <row r="33" spans="1:28" s="35" customFormat="1">
      <c r="A33" s="44"/>
      <c r="B33" s="44"/>
      <c r="C33" s="44"/>
      <c r="D33" s="44"/>
      <c r="E33" s="44"/>
      <c r="F33" s="44"/>
      <c r="G33" s="44"/>
      <c r="H33" s="44"/>
      <c r="I33" s="44"/>
      <c r="J33" s="42"/>
      <c r="K33" s="42"/>
      <c r="L33" s="75"/>
      <c r="M33" s="51"/>
      <c r="N33" s="52"/>
      <c r="O33" s="52"/>
      <c r="P33" s="75">
        <v>45128</v>
      </c>
      <c r="Q33" s="58">
        <v>11.29</v>
      </c>
      <c r="R33" s="44"/>
      <c r="S33" s="75">
        <v>45128</v>
      </c>
      <c r="T33" s="58">
        <f t="shared" si="2"/>
        <v>11.75</v>
      </c>
      <c r="U33" s="94">
        <f t="shared" si="1"/>
        <v>0.46</v>
      </c>
      <c r="V33" s="75"/>
      <c r="W33" s="58"/>
      <c r="X33" s="44"/>
      <c r="Y33" s="44"/>
      <c r="Z33" s="44"/>
      <c r="AA33" s="44"/>
      <c r="AB33" s="44"/>
    </row>
    <row r="34" spans="1:28" s="35" customFormat="1">
      <c r="A34" s="44"/>
      <c r="B34" s="44"/>
      <c r="C34" s="44"/>
      <c r="D34" s="44"/>
      <c r="E34" s="44"/>
      <c r="F34" s="44"/>
      <c r="G34" s="44"/>
      <c r="H34" s="44"/>
      <c r="I34" s="44"/>
      <c r="J34" s="42"/>
      <c r="K34" s="42"/>
      <c r="L34" s="75"/>
      <c r="M34" s="51"/>
      <c r="N34" s="52"/>
      <c r="O34" s="52"/>
      <c r="P34" s="75">
        <v>45159</v>
      </c>
      <c r="Q34" s="58">
        <v>11.5</v>
      </c>
      <c r="R34" s="44"/>
      <c r="S34" s="75">
        <v>45159</v>
      </c>
      <c r="T34" s="58">
        <f t="shared" si="2"/>
        <v>12.14</v>
      </c>
      <c r="U34" s="94">
        <f t="shared" si="1"/>
        <v>0.64</v>
      </c>
      <c r="V34" s="75"/>
      <c r="W34" s="58"/>
      <c r="X34" s="44"/>
      <c r="Y34" s="44"/>
      <c r="Z34" s="44"/>
      <c r="AA34" s="44"/>
      <c r="AB34" s="44"/>
    </row>
    <row r="35" spans="1:28" s="35" customFormat="1">
      <c r="A35" s="44"/>
      <c r="B35" s="44"/>
      <c r="C35" s="44"/>
      <c r="D35" s="44"/>
      <c r="E35" s="44"/>
      <c r="F35" s="44"/>
      <c r="G35" s="44"/>
      <c r="H35" s="44"/>
      <c r="I35" s="44"/>
      <c r="J35" s="42"/>
      <c r="K35" s="42"/>
      <c r="L35" s="75"/>
      <c r="M35" s="51"/>
      <c r="N35" s="52"/>
      <c r="O35" s="52"/>
      <c r="P35" s="75">
        <v>45190</v>
      </c>
      <c r="Q35" s="58">
        <v>11.5</v>
      </c>
      <c r="R35" s="44"/>
      <c r="S35" s="75">
        <v>45190</v>
      </c>
      <c r="T35" s="58">
        <f t="shared" si="2"/>
        <v>12.14</v>
      </c>
      <c r="U35" s="94">
        <f t="shared" si="1"/>
        <v>0.64</v>
      </c>
      <c r="V35" s="75"/>
      <c r="W35" s="58"/>
      <c r="X35" s="44"/>
      <c r="Y35" s="44"/>
      <c r="Z35" s="44"/>
      <c r="AA35" s="44"/>
      <c r="AB35" s="44"/>
    </row>
    <row r="36" spans="1:28" s="35" customFormat="1">
      <c r="A36" s="44"/>
      <c r="B36" s="44"/>
      <c r="C36" s="44"/>
      <c r="D36" s="44"/>
      <c r="E36" s="44"/>
      <c r="F36" s="44"/>
      <c r="G36" s="44"/>
      <c r="H36" s="44"/>
      <c r="I36" s="44"/>
      <c r="J36" s="42"/>
      <c r="K36" s="42"/>
      <c r="L36" s="75"/>
      <c r="M36" s="51"/>
      <c r="N36" s="52"/>
      <c r="O36" s="52"/>
      <c r="P36" s="75">
        <v>45220</v>
      </c>
      <c r="Q36" s="58">
        <v>11.13</v>
      </c>
      <c r="R36" s="44"/>
      <c r="S36" s="75">
        <v>45220</v>
      </c>
      <c r="T36" s="58">
        <f t="shared" si="2"/>
        <v>11.75</v>
      </c>
      <c r="U36" s="94">
        <f t="shared" si="1"/>
        <v>0.62</v>
      </c>
      <c r="V36" s="75"/>
      <c r="W36" s="58"/>
      <c r="X36" s="44"/>
      <c r="Y36" s="44"/>
      <c r="Z36" s="44"/>
      <c r="AA36" s="44"/>
      <c r="AB36" s="44"/>
    </row>
    <row r="37" spans="1:28" s="35" customFormat="1">
      <c r="A37" s="44"/>
      <c r="B37" s="44"/>
      <c r="C37" s="44"/>
      <c r="D37" s="44"/>
      <c r="E37" s="44"/>
      <c r="F37" s="44"/>
      <c r="G37" s="44"/>
      <c r="H37" s="44"/>
      <c r="I37" s="44"/>
      <c r="J37" s="42"/>
      <c r="K37" s="42"/>
      <c r="L37" s="44"/>
      <c r="M37" s="51"/>
      <c r="N37" s="52"/>
      <c r="O37" s="52"/>
      <c r="P37" s="75">
        <v>45251</v>
      </c>
      <c r="Q37" s="58">
        <v>11.5</v>
      </c>
      <c r="R37" s="44"/>
      <c r="S37" s="75">
        <v>45251</v>
      </c>
      <c r="T37" s="58">
        <f t="shared" si="2"/>
        <v>12.14</v>
      </c>
      <c r="U37" s="94">
        <f t="shared" si="1"/>
        <v>0.64</v>
      </c>
      <c r="V37" s="44"/>
      <c r="W37" s="44"/>
      <c r="X37" s="44"/>
      <c r="Y37" s="44"/>
      <c r="Z37" s="44"/>
      <c r="AA37" s="44"/>
      <c r="AB37" s="44"/>
    </row>
    <row r="38" spans="1:28" s="35" customFormat="1">
      <c r="A38" s="44"/>
      <c r="B38" s="44"/>
      <c r="C38" s="44"/>
      <c r="D38" s="44"/>
      <c r="E38" s="44"/>
      <c r="F38" s="44"/>
      <c r="G38" s="44"/>
      <c r="H38" s="44"/>
      <c r="I38" s="44"/>
      <c r="J38" s="42"/>
      <c r="K38" s="42"/>
      <c r="L38" s="44"/>
      <c r="M38" s="51"/>
      <c r="N38" s="52"/>
      <c r="O38" s="52"/>
      <c r="P38" s="75">
        <v>45281</v>
      </c>
      <c r="Q38" s="58">
        <v>11.13</v>
      </c>
      <c r="R38" s="44"/>
      <c r="S38" s="75">
        <v>45281</v>
      </c>
      <c r="T38" s="58">
        <f t="shared" si="2"/>
        <v>11.75</v>
      </c>
      <c r="U38" s="58">
        <f t="shared" si="1"/>
        <v>0.62</v>
      </c>
      <c r="V38" s="44"/>
      <c r="W38" s="44"/>
      <c r="X38" s="44"/>
      <c r="Y38" s="44"/>
      <c r="Z38" s="44"/>
      <c r="AA38" s="44"/>
      <c r="AB38" s="44"/>
    </row>
    <row r="39" spans="1:28" s="35" customFormat="1" hidden="1">
      <c r="A39" s="44"/>
      <c r="B39" s="44"/>
      <c r="C39" s="44"/>
      <c r="D39" s="44"/>
      <c r="E39" s="44"/>
      <c r="F39" s="44"/>
      <c r="G39" s="44"/>
      <c r="H39" s="44"/>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2"/>
      <c r="K46" s="42"/>
      <c r="L46" s="44"/>
      <c r="M46" s="51"/>
      <c r="N46" s="52"/>
      <c r="O46" s="52"/>
      <c r="P46" s="75"/>
      <c r="Q46" s="58"/>
      <c r="R46" s="44"/>
      <c r="S46" s="53"/>
      <c r="T46" s="58"/>
      <c r="U46" s="58"/>
      <c r="V46" s="44"/>
      <c r="W46" s="44"/>
      <c r="X46" s="44"/>
      <c r="Y46" s="44"/>
      <c r="Z46" s="44"/>
      <c r="AA46" s="44"/>
      <c r="AB46" s="44"/>
    </row>
    <row r="47" spans="1:28" s="35" customFormat="1" ht="22" hidden="1" customHeight="1">
      <c r="A47" s="44"/>
      <c r="B47" s="44"/>
      <c r="C47" s="44"/>
      <c r="D47" s="44"/>
      <c r="E47" s="44"/>
      <c r="F47" s="44"/>
      <c r="G47" s="44"/>
      <c r="H47" s="44"/>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43"/>
      <c r="I48" s="43"/>
      <c r="J48" s="71"/>
      <c r="K48" s="71"/>
      <c r="L48" s="43"/>
      <c r="M48" s="49"/>
      <c r="N48" s="50"/>
      <c r="O48" s="50"/>
      <c r="P48" s="43"/>
      <c r="Q48" s="55"/>
      <c r="R48" s="43"/>
      <c r="S48" s="43"/>
      <c r="T48" s="55"/>
      <c r="U48" s="56"/>
      <c r="V48" s="50"/>
      <c r="W48" s="43"/>
      <c r="X48" s="57"/>
      <c r="Y48" s="43"/>
      <c r="Z48" s="95"/>
      <c r="AA48" s="43"/>
      <c r="AB48" s="43"/>
    </row>
    <row r="49" spans="1:28" s="35" customFormat="1" hidden="1">
      <c r="A49" s="44"/>
      <c r="B49" s="44"/>
      <c r="C49" s="44"/>
      <c r="D49" s="44"/>
      <c r="E49" s="44"/>
      <c r="F49" s="44"/>
      <c r="G49" s="44"/>
      <c r="H49" s="44"/>
      <c r="I49" s="44"/>
      <c r="J49" s="42"/>
      <c r="K49" s="42"/>
      <c r="L49" s="44"/>
      <c r="M49" s="51"/>
      <c r="N49" s="52"/>
      <c r="O49" s="52"/>
      <c r="P49" s="75"/>
      <c r="Q49" s="58"/>
      <c r="R49" s="44"/>
      <c r="S49" s="75"/>
      <c r="T49" s="58"/>
      <c r="U49" s="58"/>
      <c r="V49" s="52"/>
      <c r="W49" s="44"/>
      <c r="X49" s="44"/>
      <c r="Y49" s="62"/>
      <c r="Z49" s="44"/>
      <c r="AA49" s="44"/>
      <c r="AB49" s="44"/>
    </row>
    <row r="50" spans="1:28" s="35" customFormat="1" hidden="1">
      <c r="A50" s="44"/>
      <c r="B50" s="44"/>
      <c r="C50" s="44"/>
      <c r="D50" s="44"/>
      <c r="E50" s="44"/>
      <c r="F50" s="44"/>
      <c r="G50" s="44"/>
      <c r="H50" s="44"/>
      <c r="I50" s="44"/>
      <c r="J50" s="42"/>
      <c r="K50" s="42"/>
      <c r="L50" s="44"/>
      <c r="M50" s="51"/>
      <c r="N50" s="52"/>
      <c r="O50" s="52"/>
      <c r="P50" s="75"/>
      <c r="Q50" s="58"/>
      <c r="R50" s="44"/>
      <c r="S50" s="75"/>
      <c r="T50" s="58"/>
      <c r="U50" s="58"/>
      <c r="V50" s="44"/>
      <c r="W50" s="44"/>
      <c r="X50" s="44"/>
      <c r="Y50" s="44"/>
      <c r="Z50" s="44"/>
      <c r="AA50" s="44"/>
      <c r="AB50" s="44"/>
    </row>
    <row r="51" spans="1:28" s="35" customFormat="1" hidden="1">
      <c r="A51" s="44"/>
      <c r="B51" s="44"/>
      <c r="C51" s="44"/>
      <c r="D51" s="44"/>
      <c r="E51" s="44"/>
      <c r="F51" s="44"/>
      <c r="G51" s="44"/>
      <c r="H51" s="44"/>
      <c r="I51" s="44"/>
      <c r="J51" s="42"/>
      <c r="K51" s="42"/>
      <c r="L51" s="44"/>
      <c r="M51" s="51"/>
      <c r="N51" s="52"/>
      <c r="O51" s="52"/>
      <c r="P51" s="75"/>
      <c r="Q51" s="58"/>
      <c r="R51" s="44"/>
      <c r="S51" s="75"/>
      <c r="T51" s="58"/>
      <c r="U51" s="58"/>
      <c r="V51" s="44"/>
      <c r="W51" s="44"/>
      <c r="X51" s="44"/>
      <c r="Y51" s="44"/>
      <c r="Z51" s="44"/>
      <c r="AA51" s="44"/>
      <c r="AB51" s="44"/>
    </row>
    <row r="52" spans="1:28" s="35" customFormat="1" hidden="1">
      <c r="A52" s="44"/>
      <c r="B52" s="44"/>
      <c r="C52" s="44"/>
      <c r="D52" s="44"/>
      <c r="E52" s="44"/>
      <c r="F52" s="44"/>
      <c r="G52" s="44"/>
      <c r="H52" s="44"/>
      <c r="I52" s="44"/>
      <c r="J52" s="42"/>
      <c r="K52" s="42"/>
      <c r="L52" s="44"/>
      <c r="M52" s="51"/>
      <c r="N52" s="52"/>
      <c r="O52" s="52"/>
      <c r="P52" s="75"/>
      <c r="Q52" s="58"/>
      <c r="R52" s="44"/>
      <c r="S52" s="75"/>
      <c r="T52" s="58"/>
      <c r="U52" s="58"/>
      <c r="V52" s="44"/>
      <c r="W52" s="44"/>
      <c r="X52" s="44"/>
      <c r="Y52" s="44"/>
      <c r="Z52" s="44"/>
      <c r="AA52" s="44"/>
      <c r="AB52" s="44"/>
    </row>
    <row r="53" spans="1:28" s="35" customFormat="1" hidden="1">
      <c r="A53" s="44"/>
      <c r="B53" s="44"/>
      <c r="C53" s="44"/>
      <c r="D53" s="44"/>
      <c r="E53" s="44"/>
      <c r="F53" s="44"/>
      <c r="G53" s="44"/>
      <c r="H53" s="44"/>
      <c r="I53" s="44"/>
      <c r="J53" s="42"/>
      <c r="K53" s="42"/>
      <c r="L53" s="44"/>
      <c r="M53" s="51"/>
      <c r="N53" s="52"/>
      <c r="O53" s="52"/>
      <c r="P53" s="75"/>
      <c r="Q53" s="58"/>
      <c r="R53" s="44"/>
      <c r="S53" s="75"/>
      <c r="T53" s="58"/>
      <c r="U53" s="58"/>
      <c r="V53" s="44"/>
      <c r="W53" s="44"/>
      <c r="X53" s="44"/>
      <c r="Y53" s="44"/>
      <c r="Z53" s="44"/>
      <c r="AA53" s="44"/>
      <c r="AB53" s="44"/>
    </row>
    <row r="54" spans="1:28" s="35" customFormat="1" hidden="1">
      <c r="A54" s="44"/>
      <c r="B54" s="44"/>
      <c r="C54" s="44"/>
      <c r="D54" s="44"/>
      <c r="E54" s="44"/>
      <c r="F54" s="44"/>
      <c r="G54" s="44"/>
      <c r="H54" s="44"/>
      <c r="I54" s="44"/>
      <c r="J54" s="42"/>
      <c r="K54" s="42"/>
      <c r="L54" s="44"/>
      <c r="M54" s="51"/>
      <c r="N54" s="52"/>
      <c r="O54" s="52"/>
      <c r="P54" s="75"/>
      <c r="Q54" s="58"/>
      <c r="R54" s="44"/>
      <c r="S54" s="75"/>
      <c r="T54" s="58"/>
      <c r="U54" s="58"/>
      <c r="V54" s="44"/>
      <c r="W54" s="44"/>
      <c r="X54" s="44"/>
      <c r="Y54" s="44"/>
      <c r="Z54" s="44"/>
      <c r="AA54" s="44"/>
      <c r="AB54" s="44"/>
    </row>
    <row r="55" spans="1:28" s="35" customFormat="1" hidden="1">
      <c r="A55" s="44"/>
      <c r="B55" s="44"/>
      <c r="C55" s="44"/>
      <c r="D55" s="44"/>
      <c r="E55" s="44"/>
      <c r="F55" s="44"/>
      <c r="G55" s="44"/>
      <c r="H55" s="44"/>
      <c r="I55" s="44"/>
      <c r="J55" s="42"/>
      <c r="K55" s="42"/>
      <c r="L55" s="44"/>
      <c r="M55" s="51"/>
      <c r="N55" s="52"/>
      <c r="O55" s="52"/>
      <c r="P55" s="75"/>
      <c r="Q55" s="58"/>
      <c r="R55" s="44"/>
      <c r="S55" s="75"/>
      <c r="T55" s="58"/>
      <c r="U55" s="58"/>
      <c r="V55" s="44"/>
      <c r="W55" s="44"/>
      <c r="X55" s="44"/>
      <c r="Y55" s="44"/>
      <c r="Z55" s="44"/>
      <c r="AA55" s="44"/>
      <c r="AB55" s="44"/>
    </row>
    <row r="56" spans="1:28" s="35" customFormat="1" hidden="1">
      <c r="A56" s="44"/>
      <c r="B56" s="44"/>
      <c r="C56" s="44"/>
      <c r="D56" s="44"/>
      <c r="E56" s="44"/>
      <c r="F56" s="44"/>
      <c r="G56" s="44"/>
      <c r="H56" s="44"/>
      <c r="I56" s="44"/>
      <c r="J56" s="42"/>
      <c r="K56" s="42"/>
      <c r="L56" s="44"/>
      <c r="M56" s="51"/>
      <c r="N56" s="52"/>
      <c r="O56" s="52"/>
      <c r="P56" s="75"/>
      <c r="Q56" s="58"/>
      <c r="R56" s="44"/>
      <c r="S56" s="75"/>
      <c r="T56" s="58"/>
      <c r="U56" s="58"/>
      <c r="V56" s="44"/>
      <c r="W56" s="44"/>
      <c r="X56" s="44"/>
      <c r="Y56" s="44"/>
      <c r="Z56" s="44"/>
      <c r="AA56" s="44"/>
      <c r="AB56" s="44"/>
    </row>
    <row r="57" spans="1:28" s="35" customFormat="1" hidden="1">
      <c r="A57" s="44"/>
      <c r="B57" s="44"/>
      <c r="C57" s="44"/>
      <c r="D57" s="44"/>
      <c r="E57" s="44"/>
      <c r="F57" s="44"/>
      <c r="G57" s="44"/>
      <c r="H57" s="44"/>
      <c r="I57" s="44"/>
      <c r="J57" s="42"/>
      <c r="K57" s="42"/>
      <c r="L57" s="44"/>
      <c r="M57" s="51"/>
      <c r="N57" s="52"/>
      <c r="O57" s="52"/>
      <c r="P57" s="75"/>
      <c r="Q57" s="58"/>
      <c r="R57" s="44"/>
      <c r="S57" s="75"/>
      <c r="T57" s="58"/>
      <c r="U57" s="58"/>
      <c r="V57" s="44"/>
      <c r="W57" s="44"/>
      <c r="X57" s="44"/>
      <c r="Y57" s="44"/>
      <c r="Z57" s="44"/>
      <c r="AA57" s="44"/>
      <c r="AB57" s="44"/>
    </row>
    <row r="58" spans="1:28" s="35" customFormat="1" hidden="1">
      <c r="A58" s="44"/>
      <c r="B58" s="44"/>
      <c r="C58" s="44"/>
      <c r="D58" s="44"/>
      <c r="E58" s="44"/>
      <c r="F58" s="44"/>
      <c r="G58" s="44"/>
      <c r="H58" s="44"/>
      <c r="I58" s="44"/>
      <c r="J58" s="42"/>
      <c r="K58" s="42"/>
      <c r="L58" s="44"/>
      <c r="M58" s="51"/>
      <c r="N58" s="52"/>
      <c r="O58" s="52"/>
      <c r="P58" s="75"/>
      <c r="Q58" s="58"/>
      <c r="R58" s="44"/>
      <c r="S58" s="75"/>
      <c r="T58" s="58">
        <f>(S58-S57)*$U$26*$K$26/360</f>
        <v>0</v>
      </c>
      <c r="U58" s="58">
        <f>T58-Q58</f>
        <v>0</v>
      </c>
      <c r="V58" s="44"/>
      <c r="W58" s="44"/>
      <c r="X58" s="44"/>
      <c r="Y58" s="44"/>
      <c r="Z58" s="44"/>
      <c r="AA58" s="44"/>
      <c r="AB58" s="44"/>
    </row>
    <row r="59" spans="1:28" s="35" customFormat="1" hidden="1">
      <c r="A59" s="44"/>
      <c r="B59" s="44"/>
      <c r="C59" s="44"/>
      <c r="D59" s="44"/>
      <c r="E59" s="44"/>
      <c r="F59" s="44"/>
      <c r="G59" s="44"/>
      <c r="H59" s="44"/>
      <c r="I59" s="44"/>
      <c r="J59" s="42"/>
      <c r="K59" s="42"/>
      <c r="L59" s="44"/>
      <c r="M59" s="51"/>
      <c r="N59" s="52"/>
      <c r="O59" s="52"/>
      <c r="P59" s="75"/>
      <c r="Q59" s="58"/>
      <c r="R59" s="44"/>
      <c r="S59" s="75"/>
      <c r="T59" s="58">
        <f>(S59-S58)*$U$26*$K$26/360</f>
        <v>0</v>
      </c>
      <c r="U59" s="58">
        <f>T59-Q59</f>
        <v>0</v>
      </c>
      <c r="V59" s="44"/>
      <c r="W59" s="44"/>
      <c r="X59" s="44"/>
      <c r="Y59" s="44"/>
      <c r="Z59" s="44"/>
      <c r="AA59" s="44"/>
      <c r="AB59" s="44"/>
    </row>
    <row r="60" spans="1:28" s="35" customFormat="1" hidden="1">
      <c r="A60" s="44"/>
      <c r="B60" s="44"/>
      <c r="C60" s="44"/>
      <c r="D60" s="44"/>
      <c r="E60" s="44"/>
      <c r="F60" s="44"/>
      <c r="G60" s="44"/>
      <c r="H60" s="44"/>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c r="B70" s="43"/>
      <c r="C70" s="43"/>
      <c r="D70" s="43"/>
      <c r="E70" s="43"/>
      <c r="F70" s="43"/>
      <c r="G70" s="43"/>
      <c r="H70" s="43"/>
      <c r="I70" s="43"/>
      <c r="J70" s="71"/>
      <c r="K70" s="71"/>
      <c r="L70" s="43"/>
      <c r="M70" s="49"/>
      <c r="N70" s="50"/>
      <c r="O70" s="50"/>
      <c r="P70" s="76"/>
      <c r="Q70" s="55">
        <f>SUM(Q71:Q91)</f>
        <v>0</v>
      </c>
      <c r="R70" s="43"/>
      <c r="S70" s="43"/>
      <c r="T70" s="43"/>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c r="B92" s="43"/>
      <c r="C92" s="43"/>
      <c r="D92" s="43"/>
      <c r="E92" s="43"/>
      <c r="F92" s="43"/>
      <c r="G92" s="43"/>
      <c r="H92" s="43"/>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4"/>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71"/>
      <c r="K114" s="71">
        <f>K92+K70+K48+K26++K4</f>
        <v>6000</v>
      </c>
      <c r="L114" s="43"/>
      <c r="M114" s="49"/>
      <c r="N114" s="50"/>
      <c r="O114" s="50"/>
      <c r="P114" s="76"/>
      <c r="Q114" s="43"/>
      <c r="R114" s="43">
        <f>R92+R70+R48+R26++R4</f>
        <v>88.77</v>
      </c>
      <c r="S114" s="43"/>
      <c r="T114" s="43"/>
      <c r="U114" s="43"/>
      <c r="V114" s="43"/>
      <c r="W114" s="43"/>
      <c r="X114" s="43"/>
      <c r="Y114" s="43">
        <f>Y92+Y70+Y48+Y26++Y4</f>
        <v>88.77</v>
      </c>
      <c r="Z114" s="43"/>
      <c r="AA114" s="43"/>
      <c r="AB114" s="43"/>
    </row>
    <row r="115" spans="1:28">
      <c r="I115" s="36" t="s">
        <v>49</v>
      </c>
      <c r="K115" s="72" t="str">
        <f>IF(K114&gt;3000,K116,K114)</f>
        <v>错</v>
      </c>
    </row>
    <row r="116" spans="1:28">
      <c r="K116" s="72" t="s">
        <v>50</v>
      </c>
    </row>
  </sheetData>
  <autoFilter ref="A3:AD15" xr:uid="{00000000-0009-0000-0000-00007A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AD116"/>
  <sheetViews>
    <sheetView topLeftCell="J1" zoomScale="60" zoomScaleNormal="60" workbookViewId="0">
      <pane ySplit="3" topLeftCell="A4" activePane="bottomLeft" state="frozen"/>
      <selection pane="bottomLeft" activeCell="N4" sqref="N4:AB4"/>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成都市川泰玻璃有限责任公司审计明细表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74" t="s">
        <v>9</v>
      </c>
      <c r="J2" s="165"/>
      <c r="K2" s="165"/>
      <c r="L2" s="165"/>
      <c r="M2" s="165"/>
      <c r="N2" s="165"/>
      <c r="O2" s="165"/>
      <c r="P2" s="166"/>
      <c r="Q2" s="165"/>
      <c r="R2" s="165"/>
      <c r="S2" s="167" t="s">
        <v>10</v>
      </c>
      <c r="T2" s="167"/>
      <c r="U2" s="167"/>
      <c r="V2" s="167"/>
      <c r="W2" s="167"/>
      <c r="X2" s="167"/>
      <c r="Y2" s="167"/>
      <c r="Z2" s="41"/>
      <c r="AA2" s="41"/>
      <c r="AB2" s="167" t="s">
        <v>11</v>
      </c>
    </row>
    <row r="3" spans="1:30" ht="54" customHeight="1">
      <c r="A3" s="169"/>
      <c r="B3" s="169"/>
      <c r="C3" s="170"/>
      <c r="D3" s="170"/>
      <c r="E3" s="172"/>
      <c r="F3" s="172"/>
      <c r="G3" s="170"/>
      <c r="H3" s="170"/>
      <c r="I3" s="45" t="s">
        <v>12</v>
      </c>
      <c r="J3" s="40" t="s">
        <v>13</v>
      </c>
      <c r="K3" s="41" t="s">
        <v>14</v>
      </c>
      <c r="L3" s="42" t="s">
        <v>15</v>
      </c>
      <c r="M3" s="98" t="s">
        <v>1178</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96">
      <c r="A4" s="43">
        <v>1</v>
      </c>
      <c r="B4" s="43" t="s">
        <v>653</v>
      </c>
      <c r="C4" s="43" t="s">
        <v>761</v>
      </c>
      <c r="D4" s="43" t="s">
        <v>1179</v>
      </c>
      <c r="E4" s="43" t="s">
        <v>146</v>
      </c>
      <c r="F4" s="43" t="s">
        <v>1180</v>
      </c>
      <c r="G4" s="43" t="s">
        <v>1181</v>
      </c>
      <c r="H4" s="71" t="s">
        <v>56</v>
      </c>
      <c r="I4" s="43" t="s">
        <v>1182</v>
      </c>
      <c r="J4" s="71" t="s">
        <v>58</v>
      </c>
      <c r="K4" s="71">
        <v>1000</v>
      </c>
      <c r="L4" s="43" t="s">
        <v>1183</v>
      </c>
      <c r="M4" s="49" t="s">
        <v>1184</v>
      </c>
      <c r="N4" s="50">
        <v>44911</v>
      </c>
      <c r="O4" s="68">
        <v>45268</v>
      </c>
      <c r="P4" s="43">
        <f>P17-N4</f>
        <v>356</v>
      </c>
      <c r="Q4" s="55">
        <f>SUM(Q5:Q25)</f>
        <v>42.49</v>
      </c>
      <c r="R4" s="55">
        <v>15</v>
      </c>
      <c r="S4" s="43"/>
      <c r="T4" s="55">
        <f>SUM(T5:T19)</f>
        <v>42.49</v>
      </c>
      <c r="U4" s="56">
        <v>4.2999999999999997E-2</v>
      </c>
      <c r="V4" s="50"/>
      <c r="W4" s="43" t="s">
        <v>1185</v>
      </c>
      <c r="X4" s="57">
        <v>1.4999999999999999E-2</v>
      </c>
      <c r="Y4" s="43">
        <f>ROUNDDOWN(IF((O4-N4+1)*K4*X4/365&gt;R4,R4,(O4-N4+1)*K4*X4/365),2)</f>
        <v>14.71</v>
      </c>
      <c r="Z4" s="55">
        <f>R4-Y4</f>
        <v>0.28999999999999998</v>
      </c>
      <c r="AA4" s="55" t="s">
        <v>108</v>
      </c>
      <c r="AB4" s="43" t="s">
        <v>61</v>
      </c>
      <c r="AD4" s="61">
        <f>(O4-N4+1)*K4*X4/365</f>
        <v>14.712300000000001</v>
      </c>
    </row>
    <row r="5" spans="1:30" s="35" customFormat="1" ht="112">
      <c r="A5" s="44"/>
      <c r="B5" s="44"/>
      <c r="C5" s="44"/>
      <c r="D5" s="44"/>
      <c r="E5" s="44"/>
      <c r="F5" s="44"/>
      <c r="G5" s="44"/>
      <c r="H5" s="42"/>
      <c r="I5" s="44"/>
      <c r="J5" s="42"/>
      <c r="K5" s="42"/>
      <c r="L5" s="44"/>
      <c r="M5" s="51" t="s">
        <v>1186</v>
      </c>
      <c r="N5" s="52"/>
      <c r="O5" s="52"/>
      <c r="P5" s="75">
        <v>44916</v>
      </c>
      <c r="Q5" s="58">
        <f>0.24+0.12+0.24</f>
        <v>0.6</v>
      </c>
      <c r="R5" s="44"/>
      <c r="S5" s="75">
        <v>44916</v>
      </c>
      <c r="T5" s="58">
        <f>(S5-N4)/360*$U$4*$K$4</f>
        <v>0.6</v>
      </c>
      <c r="U5" s="58">
        <f t="shared" ref="U5:U17" si="0">T5-Q5</f>
        <v>0</v>
      </c>
      <c r="V5" s="52">
        <v>45267</v>
      </c>
      <c r="W5" s="44">
        <v>1000</v>
      </c>
      <c r="X5" s="44"/>
      <c r="Y5" s="44">
        <f>ROUNDDOWN((V5-N4)*K4*X4/365,2)</f>
        <v>14.63</v>
      </c>
      <c r="Z5" s="44"/>
      <c r="AA5" s="44"/>
      <c r="AB5" s="44"/>
    </row>
    <row r="6" spans="1:30" s="35" customFormat="1">
      <c r="A6" s="44"/>
      <c r="B6" s="44"/>
      <c r="C6" s="44"/>
      <c r="D6" s="44"/>
      <c r="E6" s="44"/>
      <c r="F6" s="44"/>
      <c r="G6" s="44"/>
      <c r="H6" s="42"/>
      <c r="I6" s="44"/>
      <c r="J6" s="42"/>
      <c r="K6" s="42"/>
      <c r="L6" s="44"/>
      <c r="M6" s="51"/>
      <c r="N6" s="52"/>
      <c r="O6" s="52"/>
      <c r="P6" s="75">
        <v>44947</v>
      </c>
      <c r="Q6" s="58">
        <f>1.48+0.74+1.48</f>
        <v>3.7</v>
      </c>
      <c r="R6" s="44"/>
      <c r="S6" s="75">
        <v>44947</v>
      </c>
      <c r="T6" s="58">
        <f t="shared" ref="T6:T17" si="1">(S6-S5)*$K$4*$U$4/360</f>
        <v>3.7</v>
      </c>
      <c r="U6" s="78">
        <f t="shared" si="0"/>
        <v>0</v>
      </c>
      <c r="V6" s="44"/>
      <c r="W6" s="44"/>
      <c r="X6" s="44"/>
      <c r="Y6" s="44"/>
      <c r="Z6" s="44"/>
      <c r="AA6" s="44"/>
      <c r="AB6" s="44"/>
    </row>
    <row r="7" spans="1:30" s="35" customFormat="1">
      <c r="A7" s="44"/>
      <c r="B7" s="44"/>
      <c r="C7" s="44"/>
      <c r="D7" s="44"/>
      <c r="E7" s="44"/>
      <c r="F7" s="44"/>
      <c r="G7" s="44"/>
      <c r="H7" s="42"/>
      <c r="I7" s="44"/>
      <c r="J7" s="42"/>
      <c r="K7" s="42"/>
      <c r="L7" s="44"/>
      <c r="M7" s="51"/>
      <c r="N7" s="52"/>
      <c r="O7" s="52"/>
      <c r="P7" s="75">
        <v>44978</v>
      </c>
      <c r="Q7" s="58">
        <f>1.48+0.74+1.48</f>
        <v>3.7</v>
      </c>
      <c r="R7" s="44"/>
      <c r="S7" s="75">
        <v>44978</v>
      </c>
      <c r="T7" s="58">
        <f t="shared" si="1"/>
        <v>3.7</v>
      </c>
      <c r="U7" s="78">
        <f t="shared" si="0"/>
        <v>0</v>
      </c>
      <c r="V7" s="44"/>
      <c r="W7" s="44"/>
      <c r="X7" s="44"/>
      <c r="Y7" s="44"/>
      <c r="Z7" s="44"/>
      <c r="AA7" s="44"/>
      <c r="AB7" s="44"/>
    </row>
    <row r="8" spans="1:30" s="35" customFormat="1">
      <c r="A8" s="44"/>
      <c r="B8" s="44"/>
      <c r="C8" s="44"/>
      <c r="D8" s="44"/>
      <c r="E8" s="44"/>
      <c r="F8" s="44"/>
      <c r="G8" s="44"/>
      <c r="H8" s="42"/>
      <c r="I8" s="44"/>
      <c r="J8" s="42"/>
      <c r="K8" s="42"/>
      <c r="L8" s="44"/>
      <c r="M8" s="51"/>
      <c r="N8" s="52"/>
      <c r="O8" s="52"/>
      <c r="P8" s="75">
        <v>45006</v>
      </c>
      <c r="Q8" s="58">
        <f>1.34+0.67+1.34</f>
        <v>3.35</v>
      </c>
      <c r="R8" s="44"/>
      <c r="S8" s="75">
        <v>45006</v>
      </c>
      <c r="T8" s="58">
        <f t="shared" si="1"/>
        <v>3.34</v>
      </c>
      <c r="U8" s="94">
        <f t="shared" si="0"/>
        <v>-0.01</v>
      </c>
      <c r="V8" s="44"/>
      <c r="W8" s="44"/>
      <c r="X8" s="44"/>
      <c r="Y8" s="44"/>
      <c r="Z8" s="44"/>
      <c r="AA8" s="44"/>
      <c r="AB8" s="44"/>
    </row>
    <row r="9" spans="1:30" s="35" customFormat="1">
      <c r="A9" s="44"/>
      <c r="B9" s="44"/>
      <c r="C9" s="44"/>
      <c r="D9" s="44"/>
      <c r="E9" s="44"/>
      <c r="F9" s="44"/>
      <c r="G9" s="44"/>
      <c r="H9" s="42"/>
      <c r="I9" s="44"/>
      <c r="J9" s="42"/>
      <c r="K9" s="42"/>
      <c r="L9" s="44"/>
      <c r="M9" s="51"/>
      <c r="N9" s="52"/>
      <c r="O9" s="52"/>
      <c r="P9" s="75">
        <v>45037</v>
      </c>
      <c r="Q9" s="58">
        <f>1.48+0.74+1.48</f>
        <v>3.7</v>
      </c>
      <c r="R9" s="44"/>
      <c r="S9" s="75">
        <v>45037</v>
      </c>
      <c r="T9" s="58">
        <f t="shared" si="1"/>
        <v>3.7</v>
      </c>
      <c r="U9" s="78">
        <f t="shared" si="0"/>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44"/>
      <c r="P10" s="75">
        <v>45067</v>
      </c>
      <c r="Q10" s="58">
        <f>1.43+0.72+1.43</f>
        <v>3.58</v>
      </c>
      <c r="R10" s="44"/>
      <c r="S10" s="75">
        <v>45067</v>
      </c>
      <c r="T10" s="58">
        <f t="shared" si="1"/>
        <v>3.58</v>
      </c>
      <c r="U10" s="78">
        <f t="shared" si="0"/>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45098</v>
      </c>
      <c r="Q11" s="58">
        <f>1.48+0.74+1.48</f>
        <v>3.7</v>
      </c>
      <c r="R11" s="44"/>
      <c r="S11" s="75">
        <v>45098</v>
      </c>
      <c r="T11" s="58">
        <f t="shared" si="1"/>
        <v>3.7</v>
      </c>
      <c r="U11" s="78">
        <f t="shared" si="0"/>
        <v>0</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45128</v>
      </c>
      <c r="Q12" s="58">
        <f>1.43+0.72+1.43</f>
        <v>3.58</v>
      </c>
      <c r="R12" s="44"/>
      <c r="S12" s="75">
        <v>45128</v>
      </c>
      <c r="T12" s="58">
        <f t="shared" si="1"/>
        <v>3.58</v>
      </c>
      <c r="U12" s="78">
        <f t="shared" si="0"/>
        <v>0</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45159</v>
      </c>
      <c r="Q13" s="58">
        <f>1.48+0.74+1.48</f>
        <v>3.7</v>
      </c>
      <c r="R13" s="44"/>
      <c r="S13" s="75">
        <v>45159</v>
      </c>
      <c r="T13" s="58">
        <f t="shared" si="1"/>
        <v>3.7</v>
      </c>
      <c r="U13" s="78">
        <f t="shared" si="0"/>
        <v>0</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45190</v>
      </c>
      <c r="Q14" s="58">
        <f>1.48+0.74+1.48</f>
        <v>3.7</v>
      </c>
      <c r="R14" s="44"/>
      <c r="S14" s="75">
        <v>45190</v>
      </c>
      <c r="T14" s="58">
        <f t="shared" si="1"/>
        <v>3.7</v>
      </c>
      <c r="U14" s="78">
        <f t="shared" si="0"/>
        <v>0</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45220</v>
      </c>
      <c r="Q15" s="58">
        <f>1.43+0.72+1.43</f>
        <v>3.58</v>
      </c>
      <c r="R15" s="44"/>
      <c r="S15" s="75">
        <v>45220</v>
      </c>
      <c r="T15" s="58">
        <f t="shared" si="1"/>
        <v>3.58</v>
      </c>
      <c r="U15" s="78">
        <f t="shared" si="0"/>
        <v>0</v>
      </c>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v>45251</v>
      </c>
      <c r="Q16" s="58">
        <f>1.48+0.74+1.48</f>
        <v>3.7</v>
      </c>
      <c r="R16" s="44"/>
      <c r="S16" s="75">
        <v>45251</v>
      </c>
      <c r="T16" s="58">
        <f t="shared" si="1"/>
        <v>3.7</v>
      </c>
      <c r="U16" s="78">
        <f t="shared" si="0"/>
        <v>0</v>
      </c>
      <c r="V16" s="44"/>
      <c r="W16" s="44"/>
      <c r="X16" s="44"/>
      <c r="Y16" s="44"/>
      <c r="Z16" s="44"/>
      <c r="AA16" s="44"/>
      <c r="AB16" s="44"/>
    </row>
    <row r="17" spans="1:28" s="35" customFormat="1">
      <c r="A17" s="44"/>
      <c r="B17" s="44"/>
      <c r="C17" s="44"/>
      <c r="D17" s="44"/>
      <c r="E17" s="44"/>
      <c r="F17" s="44"/>
      <c r="G17" s="44"/>
      <c r="H17" s="42"/>
      <c r="I17" s="44"/>
      <c r="J17" s="42"/>
      <c r="K17" s="42"/>
      <c r="L17" s="44"/>
      <c r="M17" s="51"/>
      <c r="N17" s="52"/>
      <c r="O17" s="52"/>
      <c r="P17" s="75">
        <v>45267</v>
      </c>
      <c r="Q17" s="58">
        <f>0.76+0.38+0.76</f>
        <v>1.9</v>
      </c>
      <c r="R17" s="44"/>
      <c r="S17" s="75">
        <v>45267</v>
      </c>
      <c r="T17" s="58">
        <f t="shared" si="1"/>
        <v>1.91</v>
      </c>
      <c r="U17" s="58">
        <f t="shared" si="0"/>
        <v>0.01</v>
      </c>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75"/>
      <c r="T18" s="58"/>
      <c r="U18" s="58"/>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75"/>
      <c r="T19" s="58">
        <f>(S19-S18)*$K$4*$U$4/360</f>
        <v>0</v>
      </c>
      <c r="U19" s="58">
        <f>T19-Q19</f>
        <v>0</v>
      </c>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653</v>
      </c>
      <c r="C26" s="43" t="s">
        <v>761</v>
      </c>
      <c r="D26" s="43" t="s">
        <v>1179</v>
      </c>
      <c r="E26" s="43" t="s">
        <v>146</v>
      </c>
      <c r="F26" s="43" t="s">
        <v>1180</v>
      </c>
      <c r="G26" s="43" t="s">
        <v>1181</v>
      </c>
      <c r="H26" s="71" t="s">
        <v>56</v>
      </c>
      <c r="I26" s="43" t="s">
        <v>1182</v>
      </c>
      <c r="J26" s="71" t="s">
        <v>58</v>
      </c>
      <c r="K26" s="71">
        <v>1000</v>
      </c>
      <c r="L26" s="43" t="s">
        <v>1187</v>
      </c>
      <c r="M26" s="99" t="s">
        <v>1188</v>
      </c>
      <c r="N26" s="50">
        <v>45068</v>
      </c>
      <c r="O26" s="50">
        <v>45291</v>
      </c>
      <c r="P26" s="43">
        <f>P37-N26</f>
        <v>335</v>
      </c>
      <c r="Q26" s="55">
        <f>SUM(Q27:Q38)</f>
        <v>39.979999999999997</v>
      </c>
      <c r="R26" s="43">
        <v>13.76</v>
      </c>
      <c r="S26" s="43"/>
      <c r="T26" s="84">
        <f>SUM(T27:T38)</f>
        <v>39.979999999999997</v>
      </c>
      <c r="U26" s="56">
        <v>4.2999999999999997E-2</v>
      </c>
      <c r="V26" s="50"/>
      <c r="W26" s="43" t="s">
        <v>42</v>
      </c>
      <c r="X26" s="57">
        <v>1.4999999999999999E-2</v>
      </c>
      <c r="Y26" s="43">
        <f>ROUNDDOWN(IF((O26-N26+1)*K26*X26/365&gt;R26,R26,(O26-N26+1)*K26*X26/365),2)</f>
        <v>9.1999999999999993</v>
      </c>
      <c r="Z26" s="43">
        <f>R26-Y26</f>
        <v>4.5599999999999996</v>
      </c>
      <c r="AA26" s="43" t="s">
        <v>177</v>
      </c>
      <c r="AB26" s="43" t="s">
        <v>61</v>
      </c>
    </row>
    <row r="27" spans="1:28" s="35" customFormat="1">
      <c r="A27" s="44"/>
      <c r="B27" s="44"/>
      <c r="C27" s="44"/>
      <c r="D27" s="44"/>
      <c r="E27" s="44"/>
      <c r="F27" s="44"/>
      <c r="G27" s="44"/>
      <c r="H27" s="42"/>
      <c r="I27" s="44"/>
      <c r="J27" s="42"/>
      <c r="K27" s="42"/>
      <c r="L27" s="44"/>
      <c r="M27" s="51"/>
      <c r="N27" s="52"/>
      <c r="O27" s="50">
        <v>45434</v>
      </c>
      <c r="P27" s="75">
        <v>45098</v>
      </c>
      <c r="Q27" s="58">
        <v>3.58</v>
      </c>
      <c r="R27" s="44"/>
      <c r="S27" s="75">
        <v>45098</v>
      </c>
      <c r="T27" s="58">
        <f>(S27-N26)/360*$U$26*$K$26</f>
        <v>3.58</v>
      </c>
      <c r="U27" s="78">
        <f t="shared" ref="U27:U37" si="2">T27-Q27</f>
        <v>0</v>
      </c>
      <c r="V27" s="52"/>
      <c r="W27" s="44"/>
      <c r="X27" s="44"/>
      <c r="Y27" s="62">
        <f>ROUNDDOWN((V27-N26)*K26*X26/365,2)</f>
        <v>-1852.1</v>
      </c>
      <c r="Z27" s="44"/>
      <c r="AA27" s="44"/>
      <c r="AB27" s="44"/>
    </row>
    <row r="28" spans="1:28" s="35" customFormat="1">
      <c r="A28" s="44"/>
      <c r="B28" s="44"/>
      <c r="C28" s="44"/>
      <c r="D28" s="44"/>
      <c r="E28" s="44"/>
      <c r="F28" s="44"/>
      <c r="G28" s="44"/>
      <c r="H28" s="42"/>
      <c r="I28" s="44"/>
      <c r="J28" s="42"/>
      <c r="K28" s="42"/>
      <c r="L28" s="44"/>
      <c r="M28" s="51"/>
      <c r="N28" s="52"/>
      <c r="O28" s="52"/>
      <c r="P28" s="75">
        <v>45128</v>
      </c>
      <c r="Q28" s="58">
        <v>3.58</v>
      </c>
      <c r="R28" s="44"/>
      <c r="S28" s="75">
        <v>45128</v>
      </c>
      <c r="T28" s="58">
        <f t="shared" ref="T28:T37" si="3">(S28-S27)*$U$26*$K$26/360</f>
        <v>3.58</v>
      </c>
      <c r="U28" s="78">
        <f t="shared" si="2"/>
        <v>0</v>
      </c>
      <c r="V28" s="44"/>
      <c r="W28" s="44"/>
      <c r="X28" s="44"/>
      <c r="Y28" s="62"/>
      <c r="Z28" s="44"/>
      <c r="AA28" s="44"/>
      <c r="AB28" s="44"/>
    </row>
    <row r="29" spans="1:28" s="35" customFormat="1">
      <c r="A29" s="44"/>
      <c r="B29" s="44"/>
      <c r="C29" s="44"/>
      <c r="D29" s="44"/>
      <c r="E29" s="44"/>
      <c r="F29" s="44"/>
      <c r="G29" s="44"/>
      <c r="H29" s="42"/>
      <c r="I29" s="44"/>
      <c r="J29" s="42"/>
      <c r="K29" s="42"/>
      <c r="L29" s="44"/>
      <c r="M29" s="51"/>
      <c r="N29" s="52"/>
      <c r="O29" s="52"/>
      <c r="P29" s="75">
        <v>45159</v>
      </c>
      <c r="Q29" s="58">
        <v>3.7</v>
      </c>
      <c r="R29" s="44"/>
      <c r="S29" s="75">
        <v>45159</v>
      </c>
      <c r="T29" s="58">
        <f t="shared" si="3"/>
        <v>3.7</v>
      </c>
      <c r="U29" s="78">
        <f t="shared" si="2"/>
        <v>0</v>
      </c>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v>45190</v>
      </c>
      <c r="Q30" s="58">
        <v>3.7</v>
      </c>
      <c r="R30" s="44"/>
      <c r="S30" s="75">
        <v>45190</v>
      </c>
      <c r="T30" s="58">
        <f t="shared" si="3"/>
        <v>3.7</v>
      </c>
      <c r="U30" s="78">
        <f t="shared" si="2"/>
        <v>0</v>
      </c>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v>45220</v>
      </c>
      <c r="Q31" s="58">
        <v>3.58</v>
      </c>
      <c r="R31" s="44"/>
      <c r="S31" s="75">
        <v>45220</v>
      </c>
      <c r="T31" s="58">
        <f t="shared" si="3"/>
        <v>3.58</v>
      </c>
      <c r="U31" s="78">
        <f t="shared" si="2"/>
        <v>0</v>
      </c>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v>45251</v>
      </c>
      <c r="Q32" s="58">
        <v>3.7</v>
      </c>
      <c r="R32" s="44"/>
      <c r="S32" s="75">
        <v>45251</v>
      </c>
      <c r="T32" s="58">
        <f t="shared" si="3"/>
        <v>3.7</v>
      </c>
      <c r="U32" s="78">
        <f t="shared" si="2"/>
        <v>0</v>
      </c>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v>45281</v>
      </c>
      <c r="Q33" s="58">
        <v>3.58</v>
      </c>
      <c r="R33" s="44"/>
      <c r="S33" s="75">
        <v>45281</v>
      </c>
      <c r="T33" s="58">
        <f t="shared" si="3"/>
        <v>3.58</v>
      </c>
      <c r="U33" s="78">
        <f t="shared" si="2"/>
        <v>0</v>
      </c>
      <c r="V33" s="44"/>
      <c r="W33" s="44"/>
      <c r="X33" s="44"/>
      <c r="Y33" s="44"/>
      <c r="Z33" s="44"/>
      <c r="AA33" s="44"/>
      <c r="AB33" s="44"/>
    </row>
    <row r="34" spans="1:28" s="35" customFormat="1">
      <c r="A34" s="44"/>
      <c r="B34" s="44"/>
      <c r="C34" s="44"/>
      <c r="D34" s="44"/>
      <c r="E34" s="44"/>
      <c r="F34" s="44"/>
      <c r="G34" s="44"/>
      <c r="H34" s="42"/>
      <c r="I34" s="44"/>
      <c r="J34" s="42"/>
      <c r="K34" s="42"/>
      <c r="L34" s="44"/>
      <c r="M34" s="51"/>
      <c r="N34" s="52"/>
      <c r="O34" s="52"/>
      <c r="P34" s="75">
        <v>45312</v>
      </c>
      <c r="Q34" s="58">
        <v>3.7</v>
      </c>
      <c r="R34" s="44"/>
      <c r="S34" s="75">
        <v>45312</v>
      </c>
      <c r="T34" s="58">
        <f t="shared" si="3"/>
        <v>3.7</v>
      </c>
      <c r="U34" s="78">
        <f t="shared" si="2"/>
        <v>0</v>
      </c>
      <c r="V34" s="44"/>
      <c r="W34" s="44"/>
      <c r="X34" s="44"/>
      <c r="Y34" s="44"/>
      <c r="Z34" s="44"/>
      <c r="AA34" s="44"/>
      <c r="AB34" s="44"/>
    </row>
    <row r="35" spans="1:28" s="35" customFormat="1">
      <c r="A35" s="44"/>
      <c r="B35" s="44"/>
      <c r="C35" s="44"/>
      <c r="D35" s="44"/>
      <c r="E35" s="44"/>
      <c r="F35" s="44"/>
      <c r="G35" s="44"/>
      <c r="H35" s="42"/>
      <c r="I35" s="44"/>
      <c r="J35" s="42"/>
      <c r="K35" s="42"/>
      <c r="L35" s="44"/>
      <c r="M35" s="51"/>
      <c r="N35" s="52"/>
      <c r="O35" s="52"/>
      <c r="P35" s="75">
        <v>45343</v>
      </c>
      <c r="Q35" s="58">
        <v>3.7</v>
      </c>
      <c r="R35" s="44"/>
      <c r="S35" s="75">
        <v>45343</v>
      </c>
      <c r="T35" s="58">
        <f t="shared" si="3"/>
        <v>3.7</v>
      </c>
      <c r="U35" s="78">
        <f t="shared" si="2"/>
        <v>0</v>
      </c>
      <c r="V35" s="44"/>
      <c r="W35" s="44"/>
      <c r="X35" s="44"/>
      <c r="Y35" s="44"/>
      <c r="Z35" s="44"/>
      <c r="AA35" s="44"/>
      <c r="AB35" s="44"/>
    </row>
    <row r="36" spans="1:28" s="35" customFormat="1">
      <c r="A36" s="44"/>
      <c r="B36" s="44"/>
      <c r="C36" s="44"/>
      <c r="D36" s="44"/>
      <c r="E36" s="44"/>
      <c r="F36" s="44"/>
      <c r="G36" s="44"/>
      <c r="H36" s="42"/>
      <c r="I36" s="44"/>
      <c r="J36" s="42"/>
      <c r="K36" s="42"/>
      <c r="L36" s="44"/>
      <c r="M36" s="51"/>
      <c r="N36" s="52"/>
      <c r="O36" s="52"/>
      <c r="P36" s="75">
        <v>45372</v>
      </c>
      <c r="Q36" s="58">
        <v>3.46</v>
      </c>
      <c r="R36" s="44"/>
      <c r="S36" s="75">
        <v>45372</v>
      </c>
      <c r="T36" s="58">
        <f t="shared" si="3"/>
        <v>3.46</v>
      </c>
      <c r="U36" s="78">
        <f t="shared" si="2"/>
        <v>0</v>
      </c>
      <c r="V36" s="44"/>
      <c r="W36" s="44"/>
      <c r="X36" s="44"/>
      <c r="Y36" s="44"/>
      <c r="Z36" s="44"/>
      <c r="AA36" s="44"/>
      <c r="AB36" s="44"/>
    </row>
    <row r="37" spans="1:28" s="35" customFormat="1">
      <c r="A37" s="44"/>
      <c r="B37" s="44"/>
      <c r="C37" s="44"/>
      <c r="D37" s="44"/>
      <c r="E37" s="44"/>
      <c r="F37" s="44"/>
      <c r="G37" s="44"/>
      <c r="H37" s="42"/>
      <c r="I37" s="44"/>
      <c r="J37" s="42"/>
      <c r="K37" s="42"/>
      <c r="L37" s="44"/>
      <c r="M37" s="51"/>
      <c r="N37" s="52"/>
      <c r="O37" s="52"/>
      <c r="P37" s="75">
        <v>45403</v>
      </c>
      <c r="Q37" s="58">
        <v>3.7</v>
      </c>
      <c r="R37" s="44"/>
      <c r="S37" s="75">
        <v>45403</v>
      </c>
      <c r="T37" s="58">
        <f t="shared" si="3"/>
        <v>3.7</v>
      </c>
      <c r="U37" s="78">
        <f t="shared" si="2"/>
        <v>0</v>
      </c>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75"/>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71"/>
      <c r="I48" s="43"/>
      <c r="J48" s="71"/>
      <c r="K48" s="71"/>
      <c r="L48" s="43"/>
      <c r="M48" s="49"/>
      <c r="N48" s="50"/>
      <c r="O48" s="50"/>
      <c r="P48" s="76"/>
      <c r="Q48" s="55">
        <f>SUM(Q49:Q69)</f>
        <v>0</v>
      </c>
      <c r="R48" s="43"/>
      <c r="S48" s="43"/>
      <c r="T48" s="43"/>
      <c r="U48" s="56"/>
      <c r="V48" s="50"/>
      <c r="W48" s="43"/>
      <c r="X48" s="57"/>
      <c r="Y48" s="43"/>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4">B48</f>
        <v>0</v>
      </c>
      <c r="C70" s="43">
        <f t="shared" si="4"/>
        <v>0</v>
      </c>
      <c r="D70" s="43">
        <f t="shared" si="4"/>
        <v>0</v>
      </c>
      <c r="E70" s="43">
        <f t="shared" si="4"/>
        <v>0</v>
      </c>
      <c r="F70" s="43">
        <f t="shared" si="4"/>
        <v>0</v>
      </c>
      <c r="G70" s="43">
        <f t="shared" si="4"/>
        <v>0</v>
      </c>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5">B70</f>
        <v>0</v>
      </c>
      <c r="C92" s="43">
        <f t="shared" si="5"/>
        <v>0</v>
      </c>
      <c r="D92" s="43">
        <f t="shared" si="5"/>
        <v>0</v>
      </c>
      <c r="E92" s="43">
        <f t="shared" si="5"/>
        <v>0</v>
      </c>
      <c r="F92" s="43">
        <f t="shared" si="5"/>
        <v>0</v>
      </c>
      <c r="G92" s="43">
        <f t="shared" si="5"/>
        <v>0</v>
      </c>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2000</v>
      </c>
      <c r="L114" s="43"/>
      <c r="M114" s="49"/>
      <c r="N114" s="50"/>
      <c r="O114" s="50"/>
      <c r="P114" s="76"/>
      <c r="Q114" s="43"/>
      <c r="R114" s="43">
        <f>R92+R70+R48+R26++R4</f>
        <v>28.76</v>
      </c>
      <c r="S114" s="43"/>
      <c r="T114" s="43"/>
      <c r="U114" s="43"/>
      <c r="V114" s="43"/>
      <c r="W114" s="43"/>
      <c r="X114" s="43"/>
      <c r="Y114" s="43">
        <f>Y92+Y70+Y48+Y26++Y4</f>
        <v>23.91</v>
      </c>
      <c r="Z114" s="43"/>
      <c r="AA114" s="43"/>
      <c r="AB114" s="43"/>
    </row>
    <row r="115" spans="1:28">
      <c r="I115" s="36" t="s">
        <v>49</v>
      </c>
      <c r="K115" s="72">
        <f>IF(K114&gt;3000,K116,K114)</f>
        <v>2000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D125"/>
  <sheetViews>
    <sheetView topLeftCell="J1" zoomScale="90" zoomScaleNormal="9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四川中德铝业有限公司审计明细表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733</v>
      </c>
      <c r="C4" s="43" t="s">
        <v>1189</v>
      </c>
      <c r="D4" s="43" t="s">
        <v>1190</v>
      </c>
      <c r="E4" s="43" t="s">
        <v>226</v>
      </c>
      <c r="F4" s="43" t="s">
        <v>1191</v>
      </c>
      <c r="G4" s="43" t="s">
        <v>1192</v>
      </c>
      <c r="H4" s="43" t="s">
        <v>71</v>
      </c>
      <c r="I4" s="43" t="s">
        <v>1129</v>
      </c>
      <c r="J4" s="43" t="s">
        <v>58</v>
      </c>
      <c r="K4" s="43">
        <v>1000</v>
      </c>
      <c r="L4" s="43" t="s">
        <v>1193</v>
      </c>
      <c r="M4" s="49" t="s">
        <v>1194</v>
      </c>
      <c r="N4" s="50">
        <v>45229</v>
      </c>
      <c r="O4" s="50">
        <v>45291</v>
      </c>
      <c r="P4" s="43">
        <f>P7-N4</f>
        <v>83</v>
      </c>
      <c r="Q4" s="55">
        <f>SUM(Q5:Q25)</f>
        <v>10.26</v>
      </c>
      <c r="R4" s="55">
        <v>2.59</v>
      </c>
      <c r="S4" s="43"/>
      <c r="T4" s="55">
        <f>SUM(T5:T25)</f>
        <v>10.26</v>
      </c>
      <c r="U4" s="56">
        <v>4.4499999999999998E-2</v>
      </c>
      <c r="V4" s="50"/>
      <c r="W4" s="43" t="s">
        <v>42</v>
      </c>
      <c r="X4" s="57">
        <v>1.4999999999999999E-2</v>
      </c>
      <c r="Y4" s="43">
        <f>ROUNDDOWN(IF((O4-N4+1)*K4*X4/365&gt;R4,R4,(O4-N4+1)*K4*X4/365),2)</f>
        <v>2.58</v>
      </c>
      <c r="Z4" s="55">
        <f>R4-Y4</f>
        <v>0.01</v>
      </c>
      <c r="AA4" s="55" t="s">
        <v>43</v>
      </c>
      <c r="AB4" s="43" t="s">
        <v>1195</v>
      </c>
      <c r="AD4" s="61">
        <f>(O4-N4+1)*K4*X4/365</f>
        <v>2.589</v>
      </c>
    </row>
    <row r="5" spans="1:30" s="35" customFormat="1" ht="70">
      <c r="A5" s="44"/>
      <c r="B5" s="44"/>
      <c r="C5" s="44"/>
      <c r="D5" s="44"/>
      <c r="E5" s="44"/>
      <c r="F5" s="44"/>
      <c r="G5" s="44"/>
      <c r="H5" s="44"/>
      <c r="I5" s="44"/>
      <c r="J5" s="44"/>
      <c r="K5" s="44"/>
      <c r="L5" s="44"/>
      <c r="M5" s="51" t="s">
        <v>1196</v>
      </c>
      <c r="N5" s="52"/>
      <c r="O5" s="50">
        <v>45594</v>
      </c>
      <c r="P5" s="75">
        <v>45251</v>
      </c>
      <c r="Q5" s="58">
        <v>2.72</v>
      </c>
      <c r="R5" s="75"/>
      <c r="S5" s="75">
        <v>45251</v>
      </c>
      <c r="T5" s="58">
        <f>(S5-N4)/360*$U$4*$K$4</f>
        <v>2.72</v>
      </c>
      <c r="U5" s="58">
        <f>T5-Q5</f>
        <v>0</v>
      </c>
      <c r="V5" s="52"/>
      <c r="W5" s="44"/>
      <c r="X5" s="44"/>
      <c r="Y5" s="44">
        <f>ROUNDDOWN((V5-N4)*K4*X4/365,2)</f>
        <v>-1858.72</v>
      </c>
      <c r="Z5" s="44"/>
      <c r="AA5" s="44"/>
      <c r="AB5" s="44"/>
    </row>
    <row r="6" spans="1:30" s="35" customFormat="1">
      <c r="A6" s="44"/>
      <c r="B6" s="44"/>
      <c r="C6" s="44"/>
      <c r="D6" s="44"/>
      <c r="E6" s="44"/>
      <c r="F6" s="44"/>
      <c r="G6" s="44"/>
      <c r="H6" s="44"/>
      <c r="I6" s="44"/>
      <c r="J6" s="44"/>
      <c r="K6" s="44"/>
      <c r="L6" s="44"/>
      <c r="M6" s="51"/>
      <c r="N6" s="52"/>
      <c r="O6" s="52"/>
      <c r="P6" s="75">
        <v>45281</v>
      </c>
      <c r="Q6" s="58">
        <v>3.71</v>
      </c>
      <c r="R6" s="75"/>
      <c r="S6" s="75">
        <v>45281</v>
      </c>
      <c r="T6" s="58">
        <f>(S6-S5)*$K$4*$U$4/360</f>
        <v>3.71</v>
      </c>
      <c r="U6" s="58">
        <f>T6-Q6</f>
        <v>0</v>
      </c>
      <c r="V6" s="44"/>
      <c r="W6" s="44"/>
      <c r="X6" s="44"/>
      <c r="Y6" s="44"/>
      <c r="Z6" s="44"/>
      <c r="AA6" s="44"/>
      <c r="AB6" s="44"/>
    </row>
    <row r="7" spans="1:30" s="35" customFormat="1">
      <c r="A7" s="44"/>
      <c r="B7" s="44"/>
      <c r="C7" s="44"/>
      <c r="D7" s="44"/>
      <c r="E7" s="44"/>
      <c r="F7" s="44"/>
      <c r="G7" s="44"/>
      <c r="H7" s="44"/>
      <c r="I7" s="44"/>
      <c r="J7" s="44"/>
      <c r="K7" s="44"/>
      <c r="L7" s="44"/>
      <c r="M7" s="51"/>
      <c r="N7" s="52"/>
      <c r="O7" s="52"/>
      <c r="P7" s="75">
        <v>45312</v>
      </c>
      <c r="Q7" s="58">
        <v>3.83</v>
      </c>
      <c r="R7" s="75"/>
      <c r="S7" s="75">
        <v>45312</v>
      </c>
      <c r="T7" s="58">
        <f>(S7-S6)*$K$4*$U$4/360</f>
        <v>3.83</v>
      </c>
      <c r="U7" s="78">
        <f>T7-Q7</f>
        <v>0</v>
      </c>
      <c r="V7" s="44"/>
      <c r="W7" s="44"/>
      <c r="X7" s="44"/>
      <c r="Y7" s="44"/>
      <c r="Z7" s="44"/>
      <c r="AA7" s="44"/>
      <c r="AB7" s="44"/>
    </row>
    <row r="8" spans="1:30" s="35" customFormat="1" hidden="1">
      <c r="A8" s="44"/>
      <c r="B8" s="44"/>
      <c r="C8" s="44"/>
      <c r="D8" s="44"/>
      <c r="E8" s="44"/>
      <c r="F8" s="44"/>
      <c r="G8" s="44"/>
      <c r="H8" s="44"/>
      <c r="I8" s="44"/>
      <c r="J8" s="44"/>
      <c r="K8" s="44"/>
      <c r="L8" s="44"/>
      <c r="M8" s="51"/>
      <c r="N8" s="52"/>
      <c r="O8" s="52"/>
      <c r="P8" s="75"/>
      <c r="Q8" s="58"/>
      <c r="R8" s="75"/>
      <c r="S8" s="75"/>
      <c r="T8" s="58"/>
      <c r="U8" s="58"/>
      <c r="V8" s="44"/>
      <c r="W8" s="44"/>
      <c r="X8" s="44"/>
      <c r="Y8" s="44"/>
      <c r="Z8" s="44"/>
      <c r="AA8" s="44"/>
      <c r="AB8" s="44"/>
    </row>
    <row r="9" spans="1:30" s="35" customFormat="1" hidden="1">
      <c r="A9" s="44"/>
      <c r="B9" s="44"/>
      <c r="C9" s="44"/>
      <c r="D9" s="44"/>
      <c r="E9" s="44"/>
      <c r="F9" s="44"/>
      <c r="G9" s="44"/>
      <c r="H9" s="44"/>
      <c r="I9" s="44"/>
      <c r="J9" s="44"/>
      <c r="K9" s="44"/>
      <c r="L9" s="44"/>
      <c r="M9" s="51"/>
      <c r="N9" s="52"/>
      <c r="O9" s="52"/>
      <c r="P9" s="75"/>
      <c r="Q9" s="58"/>
      <c r="R9" s="75"/>
      <c r="S9" s="75"/>
      <c r="T9" s="58">
        <f t="shared" ref="T9:T16" si="0">(S9-S8)*$K$4*$U$4/360</f>
        <v>0</v>
      </c>
      <c r="U9" s="58">
        <f t="shared" ref="U9:U16" si="1">T9-Q9</f>
        <v>0</v>
      </c>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75"/>
      <c r="Q10" s="58"/>
      <c r="R10" s="75"/>
      <c r="S10" s="75"/>
      <c r="T10" s="58">
        <f t="shared" si="0"/>
        <v>0</v>
      </c>
      <c r="U10" s="58">
        <f t="shared" si="1"/>
        <v>0</v>
      </c>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75"/>
      <c r="S11" s="75"/>
      <c r="T11" s="58">
        <f t="shared" si="0"/>
        <v>0</v>
      </c>
      <c r="U11" s="58">
        <f t="shared" si="1"/>
        <v>0</v>
      </c>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75"/>
      <c r="S12" s="75"/>
      <c r="T12" s="58">
        <f t="shared" si="0"/>
        <v>0</v>
      </c>
      <c r="U12" s="58">
        <f t="shared" si="1"/>
        <v>0</v>
      </c>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75"/>
      <c r="S13" s="75"/>
      <c r="T13" s="58">
        <f t="shared" si="0"/>
        <v>0</v>
      </c>
      <c r="U13" s="58">
        <f t="shared" si="1"/>
        <v>0</v>
      </c>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75"/>
      <c r="S14" s="75"/>
      <c r="T14" s="58">
        <f t="shared" si="0"/>
        <v>0</v>
      </c>
      <c r="U14" s="58">
        <f t="shared" si="1"/>
        <v>0</v>
      </c>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75"/>
      <c r="S15" s="75"/>
      <c r="T15" s="58">
        <f t="shared" si="0"/>
        <v>0</v>
      </c>
      <c r="U15" s="58">
        <f t="shared" si="1"/>
        <v>0</v>
      </c>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75"/>
      <c r="S16" s="75"/>
      <c r="T16" s="58">
        <f t="shared" si="0"/>
        <v>0</v>
      </c>
      <c r="U16" s="58">
        <f t="shared" si="1"/>
        <v>0</v>
      </c>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2">B26</f>
        <v>0</v>
      </c>
      <c r="C48" s="43">
        <f t="shared" si="2"/>
        <v>0</v>
      </c>
      <c r="D48" s="43">
        <f t="shared" si="2"/>
        <v>0</v>
      </c>
      <c r="E48" s="43">
        <f t="shared" si="2"/>
        <v>0</v>
      </c>
      <c r="F48" s="43">
        <f t="shared" si="2"/>
        <v>0</v>
      </c>
      <c r="G48" s="43">
        <f t="shared" si="2"/>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2.59</v>
      </c>
      <c r="S114" s="43"/>
      <c r="T114" s="43"/>
      <c r="U114" s="43"/>
      <c r="V114" s="43"/>
      <c r="W114" s="43"/>
      <c r="X114" s="43"/>
      <c r="Y114" s="43">
        <f>Y92+Y70+Y48+Y26++Y4</f>
        <v>2.58</v>
      </c>
      <c r="Z114" s="43"/>
      <c r="AA114" s="43"/>
      <c r="AB114" s="43"/>
    </row>
    <row r="115" spans="1:28">
      <c r="I115" s="36" t="s">
        <v>49</v>
      </c>
      <c r="K115" s="36">
        <f>IF(K114&gt;3000,K116,K114)</f>
        <v>1000</v>
      </c>
    </row>
    <row r="116" spans="1:28">
      <c r="K116" s="36" t="s">
        <v>50</v>
      </c>
    </row>
    <row r="125" spans="1:28">
      <c r="K125" s="97"/>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D116"/>
  <sheetViews>
    <sheetView topLeftCell="L1" zoomScale="120" zoomScaleNormal="12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成都科宏达科技有限公司审计明细表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70">
      <c r="A4" s="43">
        <v>1</v>
      </c>
      <c r="B4" s="43" t="s">
        <v>632</v>
      </c>
      <c r="C4" s="43" t="s">
        <v>1189</v>
      </c>
      <c r="D4" s="43" t="s">
        <v>1197</v>
      </c>
      <c r="E4" s="43" t="s">
        <v>78</v>
      </c>
      <c r="F4" s="43" t="s">
        <v>1198</v>
      </c>
      <c r="G4" s="43" t="s">
        <v>1199</v>
      </c>
      <c r="H4" s="43" t="s">
        <v>71</v>
      </c>
      <c r="I4" s="43" t="s">
        <v>131</v>
      </c>
      <c r="J4" s="43" t="s">
        <v>58</v>
      </c>
      <c r="K4" s="43">
        <v>500</v>
      </c>
      <c r="L4" s="96" t="s">
        <v>1200</v>
      </c>
      <c r="M4" s="49" t="s">
        <v>1201</v>
      </c>
      <c r="N4" s="50">
        <v>44876</v>
      </c>
      <c r="O4" s="50">
        <v>45240</v>
      </c>
      <c r="P4" s="43">
        <f>P17-N4</f>
        <v>374</v>
      </c>
      <c r="Q4" s="55">
        <f>SUM(Q5:Q25)</f>
        <v>21.24</v>
      </c>
      <c r="R4" s="55">
        <v>7.5</v>
      </c>
      <c r="S4" s="43"/>
      <c r="T4" s="55">
        <f>SUM(T5:T25)</f>
        <v>21.82</v>
      </c>
      <c r="U4" s="56">
        <v>4.2000000000000003E-2</v>
      </c>
      <c r="V4" s="50"/>
      <c r="W4" s="43" t="s">
        <v>42</v>
      </c>
      <c r="X4" s="57">
        <v>1.4999999999999999E-2</v>
      </c>
      <c r="Y4" s="43">
        <f>ROUNDDOWN(IF((O4-N4+1)*K4*X4/365&gt;R4,R4,(O4-N4+1)*K4*X4/365),2)</f>
        <v>7.5</v>
      </c>
      <c r="Z4" s="55">
        <f>R4-Y4</f>
        <v>0</v>
      </c>
      <c r="AA4" s="55"/>
      <c r="AB4" s="43" t="s">
        <v>61</v>
      </c>
      <c r="AD4" s="61">
        <f>(O4-N4+1)*K4*X4/365</f>
        <v>7.5</v>
      </c>
    </row>
    <row r="5" spans="1:30" s="35" customFormat="1">
      <c r="A5" s="44"/>
      <c r="B5" s="44"/>
      <c r="C5" s="44"/>
      <c r="D5" s="44"/>
      <c r="E5" s="44"/>
      <c r="F5" s="44"/>
      <c r="G5" s="44"/>
      <c r="H5" s="44"/>
      <c r="I5" s="44"/>
      <c r="J5" s="44"/>
      <c r="K5" s="44"/>
      <c r="L5" s="44"/>
      <c r="M5" s="51"/>
      <c r="N5" s="52"/>
      <c r="O5" s="52"/>
      <c r="P5" s="75">
        <v>44887</v>
      </c>
      <c r="Q5" s="58">
        <v>0.57999999999999996</v>
      </c>
      <c r="R5" s="75"/>
      <c r="S5" s="75">
        <v>44887</v>
      </c>
      <c r="T5" s="58">
        <f>(S5-N4)/360*$U$4*$K$4</f>
        <v>0.64</v>
      </c>
      <c r="U5" s="58">
        <f t="shared" ref="U5:U17" si="0">T5-Q5</f>
        <v>0.06</v>
      </c>
      <c r="V5" s="52"/>
      <c r="W5" s="44"/>
      <c r="X5" s="44"/>
      <c r="Y5" s="44">
        <f>ROUNDDOWN((V5-N4)*K4*X4/365,2)</f>
        <v>-922.1</v>
      </c>
      <c r="Z5" s="44"/>
      <c r="AA5" s="44"/>
      <c r="AB5" s="44"/>
    </row>
    <row r="6" spans="1:30" s="35" customFormat="1">
      <c r="A6" s="44"/>
      <c r="B6" s="44"/>
      <c r="C6" s="44"/>
      <c r="D6" s="44"/>
      <c r="E6" s="44"/>
      <c r="F6" s="44"/>
      <c r="G6" s="44"/>
      <c r="H6" s="44"/>
      <c r="I6" s="44"/>
      <c r="J6" s="44"/>
      <c r="K6" s="44"/>
      <c r="L6" s="44"/>
      <c r="M6" s="51"/>
      <c r="N6" s="52"/>
      <c r="O6" s="52"/>
      <c r="P6" s="75">
        <v>44916</v>
      </c>
      <c r="Q6" s="58">
        <v>1.75</v>
      </c>
      <c r="R6" s="75"/>
      <c r="S6" s="75">
        <v>44916</v>
      </c>
      <c r="T6" s="58">
        <f>(S6-S5)*$K$4*$U$4/360</f>
        <v>1.69</v>
      </c>
      <c r="U6" s="58">
        <f t="shared" si="0"/>
        <v>-0.06</v>
      </c>
      <c r="V6" s="44"/>
      <c r="W6" s="44"/>
      <c r="X6" s="44"/>
      <c r="Y6" s="44"/>
      <c r="Z6" s="44"/>
      <c r="AA6" s="44"/>
      <c r="AB6" s="44"/>
    </row>
    <row r="7" spans="1:30" s="35" customFormat="1">
      <c r="A7" s="44"/>
      <c r="B7" s="44"/>
      <c r="C7" s="44"/>
      <c r="D7" s="44"/>
      <c r="E7" s="44"/>
      <c r="F7" s="44"/>
      <c r="G7" s="44"/>
      <c r="H7" s="44"/>
      <c r="I7" s="44"/>
      <c r="J7" s="44"/>
      <c r="K7" s="44"/>
      <c r="L7" s="44"/>
      <c r="M7" s="51"/>
      <c r="N7" s="52"/>
      <c r="O7" s="52"/>
      <c r="P7" s="75">
        <v>44947</v>
      </c>
      <c r="Q7" s="58">
        <v>1.81</v>
      </c>
      <c r="R7" s="75"/>
      <c r="S7" s="75">
        <v>44947</v>
      </c>
      <c r="T7" s="58">
        <f>(S7-S6)*$K$4*$U$4/360</f>
        <v>1.81</v>
      </c>
      <c r="U7" s="78">
        <f t="shared" si="0"/>
        <v>0</v>
      </c>
      <c r="V7" s="44"/>
      <c r="W7" s="44"/>
      <c r="X7" s="44"/>
      <c r="Y7" s="44"/>
      <c r="Z7" s="44"/>
      <c r="AA7" s="44"/>
      <c r="AB7" s="44"/>
    </row>
    <row r="8" spans="1:30" s="35" customFormat="1">
      <c r="A8" s="44"/>
      <c r="B8" s="44"/>
      <c r="C8" s="44"/>
      <c r="D8" s="44"/>
      <c r="E8" s="44"/>
      <c r="F8" s="44"/>
      <c r="G8" s="44"/>
      <c r="H8" s="44"/>
      <c r="I8" s="44"/>
      <c r="J8" s="44"/>
      <c r="K8" s="44"/>
      <c r="L8" s="44"/>
      <c r="M8" s="51"/>
      <c r="N8" s="52"/>
      <c r="O8" s="52"/>
      <c r="P8" s="75">
        <v>44978</v>
      </c>
      <c r="Q8" s="58">
        <v>1.81</v>
      </c>
      <c r="R8" s="75"/>
      <c r="S8" s="75">
        <v>44978</v>
      </c>
      <c r="T8" s="58">
        <f>(S7-S6)*$K$4*$U$4/360</f>
        <v>1.81</v>
      </c>
      <c r="U8" s="78">
        <f t="shared" si="0"/>
        <v>0</v>
      </c>
      <c r="V8" s="44"/>
      <c r="W8" s="44"/>
      <c r="X8" s="44"/>
      <c r="Y8" s="44"/>
      <c r="Z8" s="44"/>
      <c r="AA8" s="44"/>
      <c r="AB8" s="44"/>
    </row>
    <row r="9" spans="1:30" s="35" customFormat="1">
      <c r="A9" s="44"/>
      <c r="B9" s="44"/>
      <c r="C9" s="44"/>
      <c r="D9" s="44"/>
      <c r="E9" s="44"/>
      <c r="F9" s="44"/>
      <c r="G9" s="44"/>
      <c r="H9" s="44"/>
      <c r="I9" s="44"/>
      <c r="J9" s="44"/>
      <c r="K9" s="44"/>
      <c r="L9" s="44"/>
      <c r="M9" s="51"/>
      <c r="N9" s="52"/>
      <c r="O9" s="52"/>
      <c r="P9" s="75">
        <v>45006</v>
      </c>
      <c r="Q9" s="58">
        <v>1.63</v>
      </c>
      <c r="R9" s="75"/>
      <c r="S9" s="75">
        <v>45006</v>
      </c>
      <c r="T9" s="58">
        <f t="shared" ref="T9:T17" si="1">(S9-S8)*$K$4*$U$4/360</f>
        <v>1.63</v>
      </c>
      <c r="U9" s="58">
        <f t="shared" si="0"/>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75">
        <v>45037</v>
      </c>
      <c r="Q10" s="58">
        <v>1.81</v>
      </c>
      <c r="R10" s="75"/>
      <c r="S10" s="75">
        <v>45037</v>
      </c>
      <c r="T10" s="58">
        <f t="shared" si="1"/>
        <v>1.81</v>
      </c>
      <c r="U10" s="58">
        <f t="shared" si="0"/>
        <v>0</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75">
        <v>45067</v>
      </c>
      <c r="Q11" s="58">
        <v>1.75</v>
      </c>
      <c r="R11" s="75"/>
      <c r="S11" s="75">
        <v>45067</v>
      </c>
      <c r="T11" s="58">
        <f t="shared" si="1"/>
        <v>1.75</v>
      </c>
      <c r="U11" s="78">
        <f t="shared" si="0"/>
        <v>0</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75">
        <v>45098</v>
      </c>
      <c r="Q12" s="58">
        <v>1.81</v>
      </c>
      <c r="R12" s="75"/>
      <c r="S12" s="75">
        <v>45098</v>
      </c>
      <c r="T12" s="58">
        <f t="shared" si="1"/>
        <v>1.81</v>
      </c>
      <c r="U12" s="58">
        <f t="shared" si="0"/>
        <v>0</v>
      </c>
      <c r="V12" s="44"/>
      <c r="W12" s="44"/>
      <c r="X12" s="44"/>
      <c r="Y12" s="44"/>
      <c r="Z12" s="44"/>
      <c r="AA12" s="44"/>
      <c r="AB12" s="44"/>
    </row>
    <row r="13" spans="1:30" s="35" customFormat="1">
      <c r="A13" s="44"/>
      <c r="B13" s="44"/>
      <c r="C13" s="44"/>
      <c r="D13" s="44"/>
      <c r="E13" s="44"/>
      <c r="F13" s="44"/>
      <c r="G13" s="44"/>
      <c r="H13" s="44"/>
      <c r="I13" s="44"/>
      <c r="J13" s="44"/>
      <c r="K13" s="44"/>
      <c r="L13" s="44"/>
      <c r="M13" s="51"/>
      <c r="N13" s="52"/>
      <c r="O13" s="52"/>
      <c r="P13" s="75">
        <v>45128</v>
      </c>
      <c r="Q13" s="58">
        <v>1.75</v>
      </c>
      <c r="R13" s="75"/>
      <c r="S13" s="75">
        <v>45128</v>
      </c>
      <c r="T13" s="58">
        <f t="shared" si="1"/>
        <v>1.75</v>
      </c>
      <c r="U13" s="78">
        <f t="shared" si="0"/>
        <v>0</v>
      </c>
      <c r="V13" s="44"/>
      <c r="W13" s="44"/>
      <c r="X13" s="44"/>
      <c r="Y13" s="44"/>
      <c r="Z13" s="44"/>
      <c r="AA13" s="44"/>
      <c r="AB13" s="44"/>
    </row>
    <row r="14" spans="1:30" s="35" customFormat="1">
      <c r="A14" s="44"/>
      <c r="B14" s="44"/>
      <c r="C14" s="44"/>
      <c r="D14" s="44"/>
      <c r="E14" s="44"/>
      <c r="F14" s="44"/>
      <c r="G14" s="44"/>
      <c r="H14" s="44"/>
      <c r="I14" s="44"/>
      <c r="J14" s="44"/>
      <c r="K14" s="44"/>
      <c r="L14" s="44"/>
      <c r="M14" s="51"/>
      <c r="N14" s="52"/>
      <c r="O14" s="52"/>
      <c r="P14" s="75">
        <v>45159</v>
      </c>
      <c r="Q14" s="58">
        <v>1.81</v>
      </c>
      <c r="R14" s="75"/>
      <c r="S14" s="75">
        <v>45159</v>
      </c>
      <c r="T14" s="58">
        <f t="shared" si="1"/>
        <v>1.81</v>
      </c>
      <c r="U14" s="58">
        <f t="shared" si="0"/>
        <v>0</v>
      </c>
      <c r="V14" s="44"/>
      <c r="W14" s="44"/>
      <c r="X14" s="44"/>
      <c r="Y14" s="44"/>
      <c r="Z14" s="44"/>
      <c r="AA14" s="44"/>
      <c r="AB14" s="44"/>
    </row>
    <row r="15" spans="1:30" s="35" customFormat="1">
      <c r="A15" s="44"/>
      <c r="B15" s="44"/>
      <c r="C15" s="44"/>
      <c r="D15" s="44"/>
      <c r="E15" s="44"/>
      <c r="F15" s="44"/>
      <c r="G15" s="44"/>
      <c r="H15" s="44"/>
      <c r="I15" s="44"/>
      <c r="J15" s="44"/>
      <c r="K15" s="44"/>
      <c r="L15" s="44"/>
      <c r="M15" s="51"/>
      <c r="N15" s="52"/>
      <c r="O15" s="52"/>
      <c r="P15" s="75">
        <v>45190</v>
      </c>
      <c r="Q15" s="58">
        <v>1.81</v>
      </c>
      <c r="R15" s="75"/>
      <c r="S15" s="75">
        <v>45190</v>
      </c>
      <c r="T15" s="58">
        <f t="shared" si="1"/>
        <v>1.81</v>
      </c>
      <c r="U15" s="58">
        <f t="shared" si="0"/>
        <v>0</v>
      </c>
      <c r="V15" s="44"/>
      <c r="W15" s="44"/>
      <c r="X15" s="44"/>
      <c r="Y15" s="44"/>
      <c r="Z15" s="44"/>
      <c r="AA15" s="44"/>
      <c r="AB15" s="44"/>
    </row>
    <row r="16" spans="1:30" s="35" customFormat="1">
      <c r="A16" s="44"/>
      <c r="B16" s="44"/>
      <c r="C16" s="44"/>
      <c r="D16" s="44"/>
      <c r="E16" s="44"/>
      <c r="F16" s="44"/>
      <c r="G16" s="44"/>
      <c r="H16" s="44"/>
      <c r="I16" s="44"/>
      <c r="J16" s="44"/>
      <c r="K16" s="44"/>
      <c r="L16" s="44"/>
      <c r="M16" s="51"/>
      <c r="N16" s="52"/>
      <c r="O16" s="52"/>
      <c r="P16" s="75">
        <v>45220</v>
      </c>
      <c r="Q16" s="58">
        <v>1.75</v>
      </c>
      <c r="R16" s="75"/>
      <c r="S16" s="75">
        <v>45220</v>
      </c>
      <c r="T16" s="58">
        <f t="shared" si="1"/>
        <v>1.75</v>
      </c>
      <c r="U16" s="7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51"/>
      <c r="N17" s="52"/>
      <c r="O17" s="52"/>
      <c r="P17" s="75">
        <v>45250</v>
      </c>
      <c r="Q17" s="58">
        <v>1.17</v>
      </c>
      <c r="R17" s="44"/>
      <c r="S17" s="75">
        <v>45250</v>
      </c>
      <c r="T17" s="58">
        <f t="shared" si="1"/>
        <v>1.75</v>
      </c>
      <c r="U17" s="78">
        <f t="shared" si="0"/>
        <v>0.57999999999999996</v>
      </c>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2">B26</f>
        <v>0</v>
      </c>
      <c r="C48" s="43">
        <f t="shared" si="2"/>
        <v>0</v>
      </c>
      <c r="D48" s="43">
        <f t="shared" si="2"/>
        <v>0</v>
      </c>
      <c r="E48" s="43">
        <f t="shared" si="2"/>
        <v>0</v>
      </c>
      <c r="F48" s="43">
        <f t="shared" si="2"/>
        <v>0</v>
      </c>
      <c r="G48" s="43">
        <f t="shared" si="2"/>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500</v>
      </c>
      <c r="L114" s="43"/>
      <c r="M114" s="49"/>
      <c r="N114" s="50"/>
      <c r="O114" s="50"/>
      <c r="P114" s="76"/>
      <c r="Q114" s="43"/>
      <c r="R114" s="43">
        <f>R92+R70+R48+R26++R4</f>
        <v>7.5</v>
      </c>
      <c r="S114" s="43"/>
      <c r="T114" s="43"/>
      <c r="U114" s="43"/>
      <c r="V114" s="43"/>
      <c r="W114" s="43"/>
      <c r="X114" s="43"/>
      <c r="Y114" s="43">
        <f>Y92+Y70+Y48+Y26++Y4</f>
        <v>7.5</v>
      </c>
      <c r="Z114" s="43"/>
      <c r="AA114" s="43"/>
      <c r="AB114" s="43"/>
    </row>
    <row r="115" spans="1:28">
      <c r="I115" s="36" t="s">
        <v>49</v>
      </c>
      <c r="K115" s="36">
        <f>IF(K114&gt;3000,K116,K114)</f>
        <v>500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AD116"/>
  <sheetViews>
    <sheetView topLeftCell="K1" zoomScale="80" zoomScaleNormal="80" workbookViewId="0">
      <pane ySplit="3" topLeftCell="A7" activePane="bottomLeft" state="frozen"/>
      <selection pane="bottomLeft" activeCell="N26" sqref="N26:AB26"/>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成都市花中花农业发展有限责任公司审计明细表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54" customHeight="1">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70">
      <c r="A4" s="43">
        <v>1</v>
      </c>
      <c r="B4" s="43" t="s">
        <v>655</v>
      </c>
      <c r="C4" s="43" t="s">
        <v>1189</v>
      </c>
      <c r="D4" s="152" t="s">
        <v>1202</v>
      </c>
      <c r="E4" s="43" t="s">
        <v>34</v>
      </c>
      <c r="F4" s="43" t="s">
        <v>1191</v>
      </c>
      <c r="G4" s="43" t="s">
        <v>1203</v>
      </c>
      <c r="H4" s="71" t="s">
        <v>156</v>
      </c>
      <c r="I4" s="43" t="s">
        <v>1204</v>
      </c>
      <c r="J4" s="71" t="s">
        <v>58</v>
      </c>
      <c r="K4" s="71">
        <v>2000</v>
      </c>
      <c r="L4" s="43" t="s">
        <v>1205</v>
      </c>
      <c r="M4" s="49" t="s">
        <v>1206</v>
      </c>
      <c r="N4" s="50">
        <v>44904</v>
      </c>
      <c r="O4" s="50">
        <v>45247</v>
      </c>
      <c r="P4" s="43">
        <f>P15-N4</f>
        <v>343</v>
      </c>
      <c r="Q4" s="55">
        <f>SUM(Q5:Q25)</f>
        <v>75.25</v>
      </c>
      <c r="R4" s="55">
        <v>37.590000000000003</v>
      </c>
      <c r="S4" s="43"/>
      <c r="T4" s="55">
        <f>SUM(T5:T19)</f>
        <v>75.25</v>
      </c>
      <c r="U4" s="56">
        <v>3.95E-2</v>
      </c>
      <c r="V4" s="50"/>
      <c r="W4" s="43" t="s">
        <v>1207</v>
      </c>
      <c r="X4" s="57">
        <v>0.02</v>
      </c>
      <c r="Y4" s="43">
        <f>ROUNDDOWN(IF((O4-N4+1)*K4*X4/365&gt;R4,R4,(O4-N4+1)*K4*X4/365),2)</f>
        <v>37.590000000000003</v>
      </c>
      <c r="Z4" s="55">
        <f>R4-Y4</f>
        <v>0</v>
      </c>
      <c r="AA4" s="55"/>
      <c r="AB4" s="43" t="s">
        <v>61</v>
      </c>
      <c r="AD4" s="61">
        <f>(O4-N4+1)*K4*X4/365</f>
        <v>37.698599999999999</v>
      </c>
    </row>
    <row r="5" spans="1:30" s="35" customFormat="1">
      <c r="A5" s="44"/>
      <c r="B5" s="44"/>
      <c r="C5" s="44"/>
      <c r="D5" s="44"/>
      <c r="E5" s="44"/>
      <c r="F5" s="44"/>
      <c r="G5" s="44"/>
      <c r="H5" s="42"/>
      <c r="I5" s="44"/>
      <c r="J5" s="42"/>
      <c r="K5" s="42"/>
      <c r="L5" s="44"/>
      <c r="M5" s="51"/>
      <c r="N5" s="52"/>
      <c r="O5" s="52"/>
      <c r="P5" s="75">
        <v>44947</v>
      </c>
      <c r="Q5" s="58">
        <v>9.44</v>
      </c>
      <c r="R5" s="44"/>
      <c r="S5" s="75">
        <v>44947</v>
      </c>
      <c r="T5" s="58">
        <f>(S5-N4)/360*$U$4*$K$4</f>
        <v>9.44</v>
      </c>
      <c r="U5" s="58">
        <f t="shared" ref="U5:U15" si="0">T5-Q5</f>
        <v>0</v>
      </c>
      <c r="V5" s="52">
        <v>45247</v>
      </c>
      <c r="W5" s="44">
        <v>2000</v>
      </c>
      <c r="X5" s="44"/>
      <c r="Y5" s="44">
        <f>ROUNDDOWN((V5-N4)*K4*X4/365,2)</f>
        <v>37.58</v>
      </c>
      <c r="Z5" s="44"/>
      <c r="AA5" s="44"/>
      <c r="AB5" s="44"/>
    </row>
    <row r="6" spans="1:30" s="35" customFormat="1">
      <c r="A6" s="44"/>
      <c r="B6" s="44"/>
      <c r="C6" s="44"/>
      <c r="D6" s="44"/>
      <c r="E6" s="44"/>
      <c r="F6" s="44"/>
      <c r="G6" s="44"/>
      <c r="H6" s="42"/>
      <c r="I6" s="44"/>
      <c r="J6" s="42"/>
      <c r="K6" s="42"/>
      <c r="L6" s="44"/>
      <c r="M6" s="51"/>
      <c r="N6" s="52"/>
      <c r="O6" s="52"/>
      <c r="P6" s="75">
        <v>44978</v>
      </c>
      <c r="Q6" s="58">
        <v>6.8</v>
      </c>
      <c r="R6" s="44"/>
      <c r="S6" s="75">
        <v>44978</v>
      </c>
      <c r="T6" s="58">
        <f t="shared" ref="T6:T15" si="1">(S6-S5)*$K$4*$U$4/360</f>
        <v>6.8</v>
      </c>
      <c r="U6" s="78">
        <f t="shared" si="0"/>
        <v>0</v>
      </c>
      <c r="V6" s="44"/>
      <c r="W6" s="44"/>
      <c r="X6" s="44"/>
      <c r="Y6" s="44"/>
      <c r="Z6" s="44"/>
      <c r="AA6" s="44"/>
      <c r="AB6" s="44"/>
    </row>
    <row r="7" spans="1:30" s="35" customFormat="1">
      <c r="A7" s="44"/>
      <c r="B7" s="44"/>
      <c r="C7" s="44"/>
      <c r="D7" s="44"/>
      <c r="E7" s="44"/>
      <c r="F7" s="44"/>
      <c r="G7" s="44"/>
      <c r="H7" s="42"/>
      <c r="I7" s="44"/>
      <c r="J7" s="42"/>
      <c r="K7" s="42"/>
      <c r="L7" s="44"/>
      <c r="M7" s="51"/>
      <c r="N7" s="52"/>
      <c r="O7" s="52"/>
      <c r="P7" s="75">
        <v>45006</v>
      </c>
      <c r="Q7" s="58">
        <v>6.14</v>
      </c>
      <c r="R7" s="44"/>
      <c r="S7" s="75">
        <v>45006</v>
      </c>
      <c r="T7" s="58">
        <f t="shared" si="1"/>
        <v>6.14</v>
      </c>
      <c r="U7" s="78">
        <f t="shared" si="0"/>
        <v>0</v>
      </c>
      <c r="V7" s="44"/>
      <c r="W7" s="44"/>
      <c r="X7" s="44"/>
      <c r="Y7" s="44"/>
      <c r="Z7" s="44"/>
      <c r="AA7" s="44"/>
      <c r="AB7" s="44"/>
    </row>
    <row r="8" spans="1:30" s="35" customFormat="1">
      <c r="A8" s="44"/>
      <c r="B8" s="44"/>
      <c r="C8" s="44"/>
      <c r="D8" s="44"/>
      <c r="E8" s="44"/>
      <c r="F8" s="44"/>
      <c r="G8" s="44"/>
      <c r="H8" s="42"/>
      <c r="I8" s="44"/>
      <c r="J8" s="42"/>
      <c r="K8" s="42"/>
      <c r="L8" s="44"/>
      <c r="M8" s="51"/>
      <c r="N8" s="52"/>
      <c r="O8" s="52"/>
      <c r="P8" s="75">
        <v>45037</v>
      </c>
      <c r="Q8" s="58">
        <v>6.8</v>
      </c>
      <c r="R8" s="44"/>
      <c r="S8" s="75">
        <v>45037</v>
      </c>
      <c r="T8" s="58">
        <f t="shared" si="1"/>
        <v>6.8</v>
      </c>
      <c r="U8" s="94">
        <f t="shared" si="0"/>
        <v>0</v>
      </c>
      <c r="V8" s="44"/>
      <c r="W8" s="44"/>
      <c r="X8" s="44"/>
      <c r="Y8" s="44"/>
      <c r="Z8" s="44"/>
      <c r="AA8" s="44"/>
      <c r="AB8" s="44"/>
    </row>
    <row r="9" spans="1:30" s="35" customFormat="1">
      <c r="A9" s="44"/>
      <c r="B9" s="44"/>
      <c r="C9" s="44"/>
      <c r="D9" s="44"/>
      <c r="E9" s="44"/>
      <c r="F9" s="44"/>
      <c r="G9" s="44"/>
      <c r="H9" s="42"/>
      <c r="I9" s="44"/>
      <c r="J9" s="42"/>
      <c r="K9" s="42"/>
      <c r="L9" s="44"/>
      <c r="M9" s="51"/>
      <c r="N9" s="52"/>
      <c r="O9" s="52"/>
      <c r="P9" s="75">
        <v>45067</v>
      </c>
      <c r="Q9" s="58">
        <v>6.58</v>
      </c>
      <c r="R9" s="44"/>
      <c r="S9" s="75">
        <v>45067</v>
      </c>
      <c r="T9" s="58">
        <f t="shared" si="1"/>
        <v>6.58</v>
      </c>
      <c r="U9" s="78">
        <f t="shared" si="0"/>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44"/>
      <c r="P10" s="75">
        <v>45098</v>
      </c>
      <c r="Q10" s="58">
        <v>6.8</v>
      </c>
      <c r="R10" s="44"/>
      <c r="S10" s="75">
        <v>45098</v>
      </c>
      <c r="T10" s="58">
        <f t="shared" si="1"/>
        <v>6.8</v>
      </c>
      <c r="U10" s="78">
        <f t="shared" si="0"/>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45128</v>
      </c>
      <c r="Q11" s="58">
        <v>6.58</v>
      </c>
      <c r="R11" s="44"/>
      <c r="S11" s="75">
        <v>45128</v>
      </c>
      <c r="T11" s="58">
        <f t="shared" si="1"/>
        <v>6.58</v>
      </c>
      <c r="U11" s="78">
        <f t="shared" si="0"/>
        <v>0</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45159</v>
      </c>
      <c r="Q12" s="58">
        <v>6.8</v>
      </c>
      <c r="R12" s="44"/>
      <c r="S12" s="75">
        <v>45159</v>
      </c>
      <c r="T12" s="58">
        <f t="shared" si="1"/>
        <v>6.8</v>
      </c>
      <c r="U12" s="78">
        <f t="shared" si="0"/>
        <v>0</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45190</v>
      </c>
      <c r="Q13" s="58">
        <v>6.8</v>
      </c>
      <c r="R13" s="44"/>
      <c r="S13" s="75">
        <v>45190</v>
      </c>
      <c r="T13" s="58">
        <f t="shared" si="1"/>
        <v>6.8</v>
      </c>
      <c r="U13" s="78">
        <f t="shared" si="0"/>
        <v>0</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45220</v>
      </c>
      <c r="Q14" s="58">
        <v>6.58</v>
      </c>
      <c r="R14" s="44"/>
      <c r="S14" s="75">
        <v>45220</v>
      </c>
      <c r="T14" s="58">
        <f t="shared" si="1"/>
        <v>6.58</v>
      </c>
      <c r="U14" s="78">
        <f t="shared" si="0"/>
        <v>0</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45247</v>
      </c>
      <c r="Q15" s="58">
        <v>5.93</v>
      </c>
      <c r="R15" s="44"/>
      <c r="S15" s="75">
        <v>45247</v>
      </c>
      <c r="T15" s="58">
        <f t="shared" si="1"/>
        <v>5.93</v>
      </c>
      <c r="U15" s="78">
        <f t="shared" si="0"/>
        <v>0</v>
      </c>
      <c r="V15" s="44"/>
      <c r="W15" s="44"/>
      <c r="X15" s="44"/>
      <c r="Y15" s="44"/>
      <c r="Z15" s="44"/>
      <c r="AA15" s="44"/>
      <c r="AB15" s="44"/>
    </row>
    <row r="16" spans="1:30" s="35" customFormat="1" hidden="1">
      <c r="A16" s="44"/>
      <c r="B16" s="44"/>
      <c r="C16" s="44"/>
      <c r="D16" s="44"/>
      <c r="E16" s="44"/>
      <c r="F16" s="44"/>
      <c r="G16" s="44"/>
      <c r="H16" s="42"/>
      <c r="I16" s="44"/>
      <c r="J16" s="42"/>
      <c r="K16" s="42"/>
      <c r="L16" s="44"/>
      <c r="M16" s="51"/>
      <c r="N16" s="52"/>
      <c r="O16" s="52"/>
      <c r="P16" s="75"/>
      <c r="Q16" s="58"/>
      <c r="R16" s="44"/>
      <c r="S16" s="75"/>
      <c r="T16" s="58"/>
      <c r="U16" s="78"/>
      <c r="V16" s="44"/>
      <c r="W16" s="44"/>
      <c r="X16" s="44"/>
      <c r="Y16" s="44"/>
      <c r="Z16" s="44"/>
      <c r="AA16" s="44"/>
      <c r="AB16" s="44"/>
    </row>
    <row r="17" spans="1:28" s="35" customFormat="1" hidden="1">
      <c r="A17" s="44"/>
      <c r="B17" s="44"/>
      <c r="C17" s="44"/>
      <c r="D17" s="44"/>
      <c r="E17" s="44"/>
      <c r="F17" s="44"/>
      <c r="G17" s="44"/>
      <c r="H17" s="42"/>
      <c r="I17" s="44"/>
      <c r="J17" s="42"/>
      <c r="K17" s="42"/>
      <c r="L17" s="44"/>
      <c r="M17" s="51"/>
      <c r="N17" s="52"/>
      <c r="O17" s="52"/>
      <c r="P17" s="75"/>
      <c r="Q17" s="58"/>
      <c r="R17" s="44"/>
      <c r="S17" s="75"/>
      <c r="T17" s="58">
        <f>(S17-S16)*$K$4*$U$4/360</f>
        <v>0</v>
      </c>
      <c r="U17" s="58">
        <f>T17-Q17</f>
        <v>0</v>
      </c>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75"/>
      <c r="T18" s="58"/>
      <c r="U18" s="58"/>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75"/>
      <c r="T19" s="58">
        <f>(S19-S18)*$K$4*$U$4/360</f>
        <v>0</v>
      </c>
      <c r="U19" s="58">
        <f>T19-Q19</f>
        <v>0</v>
      </c>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655</v>
      </c>
      <c r="C26" s="43" t="s">
        <v>1189</v>
      </c>
      <c r="D26" s="152" t="s">
        <v>1202</v>
      </c>
      <c r="E26" s="43" t="s">
        <v>34</v>
      </c>
      <c r="F26" s="43" t="s">
        <v>1191</v>
      </c>
      <c r="G26" s="43" t="s">
        <v>1203</v>
      </c>
      <c r="H26" s="71" t="s">
        <v>71</v>
      </c>
      <c r="I26" s="43" t="s">
        <v>1208</v>
      </c>
      <c r="J26" s="71" t="s">
        <v>1209</v>
      </c>
      <c r="K26" s="71">
        <v>500</v>
      </c>
      <c r="L26" s="43" t="s">
        <v>1210</v>
      </c>
      <c r="M26" s="49" t="s">
        <v>1211</v>
      </c>
      <c r="N26" s="50">
        <v>45274</v>
      </c>
      <c r="O26" s="50">
        <v>45291</v>
      </c>
      <c r="P26" s="43">
        <f>P28-N26</f>
        <v>17</v>
      </c>
      <c r="Q26" s="55">
        <f>SUM(Q27:Q38)</f>
        <v>0.93</v>
      </c>
      <c r="R26" s="43">
        <v>0.35</v>
      </c>
      <c r="S26" s="43"/>
      <c r="T26" s="84">
        <f>SUM(T27:T38)</f>
        <v>0.93</v>
      </c>
      <c r="U26" s="56">
        <v>3.95E-2</v>
      </c>
      <c r="V26" s="50"/>
      <c r="W26" s="43" t="s">
        <v>42</v>
      </c>
      <c r="X26" s="57">
        <v>1.4999999999999999E-2</v>
      </c>
      <c r="Y26" s="43">
        <f>ROUNDDOWN(IF((O26-N26+1)*K26*X26/365&gt;R26,R26,(O26-N26+1)*K26*X26/365),2)</f>
        <v>0.35</v>
      </c>
      <c r="Z26" s="95">
        <f>R26-Y26</f>
        <v>0</v>
      </c>
      <c r="AA26" s="43"/>
      <c r="AB26" s="43" t="s">
        <v>61</v>
      </c>
    </row>
    <row r="27" spans="1:28" s="35" customFormat="1" ht="56">
      <c r="A27" s="44"/>
      <c r="B27" s="44"/>
      <c r="C27" s="44"/>
      <c r="D27" s="44"/>
      <c r="E27" s="44"/>
      <c r="F27" s="44"/>
      <c r="G27" s="44"/>
      <c r="H27" s="42"/>
      <c r="I27" s="44"/>
      <c r="J27" s="42"/>
      <c r="K27" s="42"/>
      <c r="L27" s="44"/>
      <c r="M27" s="51" t="s">
        <v>1212</v>
      </c>
      <c r="N27" s="52"/>
      <c r="O27" s="68">
        <v>45727</v>
      </c>
      <c r="P27" s="75">
        <v>45280</v>
      </c>
      <c r="Q27" s="58">
        <v>0.33</v>
      </c>
      <c r="R27" s="44"/>
      <c r="S27" s="75">
        <v>45280</v>
      </c>
      <c r="T27" s="58">
        <f>(S27-N26)/360*$U$26*$K$26</f>
        <v>0.33</v>
      </c>
      <c r="U27" s="78">
        <f>T27-Q27</f>
        <v>0</v>
      </c>
      <c r="V27" s="52"/>
      <c r="W27" s="44"/>
      <c r="X27" s="44"/>
      <c r="Y27" s="62">
        <f>ROUNDDOWN((V27-N26)*K26*X26/365,2)</f>
        <v>-930.28</v>
      </c>
      <c r="Z27" s="44"/>
      <c r="AA27" s="44"/>
      <c r="AB27" s="44"/>
    </row>
    <row r="28" spans="1:28" s="35" customFormat="1">
      <c r="A28" s="44"/>
      <c r="B28" s="44"/>
      <c r="C28" s="44"/>
      <c r="D28" s="44"/>
      <c r="E28" s="44"/>
      <c r="F28" s="44"/>
      <c r="G28" s="44"/>
      <c r="H28" s="42"/>
      <c r="I28" s="44"/>
      <c r="J28" s="42"/>
      <c r="K28" s="42"/>
      <c r="L28" s="44"/>
      <c r="M28" s="51"/>
      <c r="N28" s="52"/>
      <c r="O28" s="52"/>
      <c r="P28" s="75">
        <v>45291</v>
      </c>
      <c r="Q28" s="58">
        <v>0.6</v>
      </c>
      <c r="R28" s="44"/>
      <c r="S28" s="75">
        <v>45291</v>
      </c>
      <c r="T28" s="58">
        <f>(S28-S27)*$U$26*$K$26/360</f>
        <v>0.6</v>
      </c>
      <c r="U28" s="78">
        <f>T28-Q28</f>
        <v>0</v>
      </c>
      <c r="V28" s="44"/>
      <c r="W28" s="44"/>
      <c r="X28" s="44"/>
      <c r="Y28" s="62"/>
      <c r="Z28" s="44"/>
      <c r="AA28" s="44"/>
      <c r="AB28" s="44"/>
    </row>
    <row r="29" spans="1:28" s="35" customFormat="1" hidden="1">
      <c r="A29" s="44"/>
      <c r="B29" s="44"/>
      <c r="C29" s="44"/>
      <c r="D29" s="44"/>
      <c r="E29" s="44"/>
      <c r="F29" s="44"/>
      <c r="G29" s="44"/>
      <c r="H29" s="42"/>
      <c r="I29" s="44"/>
      <c r="J29" s="42"/>
      <c r="K29" s="42"/>
      <c r="L29" s="44"/>
      <c r="M29" s="51"/>
      <c r="N29" s="52"/>
      <c r="O29" s="52"/>
      <c r="P29" s="75"/>
      <c r="Q29" s="58"/>
      <c r="R29" s="44"/>
      <c r="S29" s="75"/>
      <c r="T29" s="58"/>
      <c r="U29" s="78"/>
      <c r="V29" s="44"/>
      <c r="W29" s="44"/>
      <c r="X29" s="44"/>
      <c r="Y29" s="44"/>
      <c r="Z29" s="44"/>
      <c r="AA29" s="44"/>
      <c r="AB29" s="44"/>
    </row>
    <row r="30" spans="1:28" s="35" customFormat="1" hidden="1">
      <c r="A30" s="44"/>
      <c r="B30" s="44"/>
      <c r="C30" s="44"/>
      <c r="D30" s="44"/>
      <c r="E30" s="44"/>
      <c r="F30" s="44"/>
      <c r="G30" s="44"/>
      <c r="H30" s="42"/>
      <c r="I30" s="44"/>
      <c r="J30" s="42"/>
      <c r="K30" s="42"/>
      <c r="L30" s="44"/>
      <c r="M30" s="51"/>
      <c r="N30" s="52"/>
      <c r="O30" s="52"/>
      <c r="P30" s="75"/>
      <c r="Q30" s="58"/>
      <c r="R30" s="44"/>
      <c r="S30" s="75"/>
      <c r="T30" s="58"/>
      <c r="U30" s="78"/>
      <c r="V30" s="44"/>
      <c r="W30" s="44"/>
      <c r="X30" s="44"/>
      <c r="Y30" s="44"/>
      <c r="Z30" s="44"/>
      <c r="AA30" s="44"/>
      <c r="AB30" s="44"/>
    </row>
    <row r="31" spans="1:28" s="35" customFormat="1" hidden="1">
      <c r="A31" s="44"/>
      <c r="B31" s="44"/>
      <c r="C31" s="44"/>
      <c r="D31" s="44"/>
      <c r="E31" s="44"/>
      <c r="F31" s="44"/>
      <c r="G31" s="44"/>
      <c r="H31" s="42"/>
      <c r="I31" s="44"/>
      <c r="J31" s="42"/>
      <c r="K31" s="42"/>
      <c r="L31" s="44"/>
      <c r="M31" s="51"/>
      <c r="N31" s="52"/>
      <c r="O31" s="52"/>
      <c r="P31" s="75"/>
      <c r="Q31" s="58"/>
      <c r="R31" s="44"/>
      <c r="S31" s="75"/>
      <c r="T31" s="58"/>
      <c r="U31" s="78"/>
      <c r="V31" s="44"/>
      <c r="W31" s="44"/>
      <c r="X31" s="44"/>
      <c r="Y31" s="44"/>
      <c r="Z31" s="44"/>
      <c r="AA31" s="44"/>
      <c r="AB31" s="44"/>
    </row>
    <row r="32" spans="1:28" s="35" customFormat="1" hidden="1">
      <c r="A32" s="44"/>
      <c r="B32" s="44"/>
      <c r="C32" s="44"/>
      <c r="D32" s="44"/>
      <c r="E32" s="44"/>
      <c r="F32" s="44"/>
      <c r="G32" s="44"/>
      <c r="H32" s="42"/>
      <c r="I32" s="44"/>
      <c r="J32" s="42"/>
      <c r="K32" s="42"/>
      <c r="L32" s="44"/>
      <c r="M32" s="51"/>
      <c r="N32" s="52"/>
      <c r="O32" s="52"/>
      <c r="P32" s="75"/>
      <c r="Q32" s="58"/>
      <c r="R32" s="44"/>
      <c r="S32" s="75"/>
      <c r="T32" s="58"/>
      <c r="U32" s="78"/>
      <c r="V32" s="44"/>
      <c r="W32" s="44"/>
      <c r="X32" s="44"/>
      <c r="Y32" s="44"/>
      <c r="Z32" s="44"/>
      <c r="AA32" s="44"/>
      <c r="AB32" s="44"/>
    </row>
    <row r="33" spans="1:28" s="35" customFormat="1" hidden="1">
      <c r="A33" s="44"/>
      <c r="B33" s="44"/>
      <c r="C33" s="44"/>
      <c r="D33" s="44"/>
      <c r="E33" s="44"/>
      <c r="F33" s="44"/>
      <c r="G33" s="44"/>
      <c r="H33" s="42"/>
      <c r="I33" s="44"/>
      <c r="J33" s="42"/>
      <c r="K33" s="42"/>
      <c r="L33" s="44"/>
      <c r="M33" s="51"/>
      <c r="N33" s="52"/>
      <c r="O33" s="52"/>
      <c r="P33" s="75"/>
      <c r="Q33" s="58"/>
      <c r="R33" s="44"/>
      <c r="S33" s="75"/>
      <c r="T33" s="58"/>
      <c r="U33" s="78"/>
      <c r="V33" s="44"/>
      <c r="W33" s="44"/>
      <c r="X33" s="44"/>
      <c r="Y33" s="44"/>
      <c r="Z33" s="44"/>
      <c r="AA33" s="44"/>
      <c r="AB33" s="44"/>
    </row>
    <row r="34" spans="1:28" s="35" customFormat="1" hidden="1">
      <c r="A34" s="44"/>
      <c r="B34" s="44"/>
      <c r="C34" s="44"/>
      <c r="D34" s="44"/>
      <c r="E34" s="44"/>
      <c r="F34" s="44"/>
      <c r="G34" s="44"/>
      <c r="H34" s="42"/>
      <c r="I34" s="44"/>
      <c r="J34" s="42"/>
      <c r="K34" s="42"/>
      <c r="L34" s="44"/>
      <c r="M34" s="51"/>
      <c r="N34" s="52"/>
      <c r="O34" s="52"/>
      <c r="P34" s="75"/>
      <c r="Q34" s="58"/>
      <c r="R34" s="44"/>
      <c r="S34" s="75"/>
      <c r="T34" s="58"/>
      <c r="U34" s="78"/>
      <c r="V34" s="44"/>
      <c r="W34" s="44"/>
      <c r="X34" s="44"/>
      <c r="Y34" s="44"/>
      <c r="Z34" s="44"/>
      <c r="AA34" s="44"/>
      <c r="AB34" s="44"/>
    </row>
    <row r="35" spans="1:28" s="35" customFormat="1" hidden="1">
      <c r="A35" s="44"/>
      <c r="B35" s="44"/>
      <c r="C35" s="44"/>
      <c r="D35" s="44"/>
      <c r="E35" s="44"/>
      <c r="F35" s="44"/>
      <c r="G35" s="44"/>
      <c r="H35" s="42"/>
      <c r="I35" s="44"/>
      <c r="J35" s="42"/>
      <c r="K35" s="42"/>
      <c r="L35" s="44"/>
      <c r="M35" s="51"/>
      <c r="N35" s="52"/>
      <c r="O35" s="52"/>
      <c r="P35" s="75"/>
      <c r="Q35" s="58"/>
      <c r="R35" s="44"/>
      <c r="S35" s="75"/>
      <c r="T35" s="58"/>
      <c r="U35" s="78"/>
      <c r="V35" s="44"/>
      <c r="W35" s="44"/>
      <c r="X35" s="44"/>
      <c r="Y35" s="44"/>
      <c r="Z35" s="44"/>
      <c r="AA35" s="44"/>
      <c r="AB35" s="44"/>
    </row>
    <row r="36" spans="1:28" s="35" customFormat="1" hidden="1">
      <c r="A36" s="44"/>
      <c r="B36" s="44"/>
      <c r="C36" s="44"/>
      <c r="D36" s="44"/>
      <c r="E36" s="44"/>
      <c r="F36" s="44"/>
      <c r="G36" s="44"/>
      <c r="H36" s="42"/>
      <c r="I36" s="44"/>
      <c r="J36" s="42"/>
      <c r="K36" s="42"/>
      <c r="L36" s="44"/>
      <c r="M36" s="51"/>
      <c r="N36" s="52"/>
      <c r="O36" s="52"/>
      <c r="P36" s="75"/>
      <c r="Q36" s="58"/>
      <c r="R36" s="44"/>
      <c r="S36" s="75"/>
      <c r="T36" s="58"/>
      <c r="U36" s="78"/>
      <c r="V36" s="44"/>
      <c r="W36" s="44"/>
      <c r="X36" s="44"/>
      <c r="Y36" s="44"/>
      <c r="Z36" s="44"/>
      <c r="AA36" s="44"/>
      <c r="AB36" s="44"/>
    </row>
    <row r="37" spans="1:28" s="35" customFormat="1" hidden="1">
      <c r="A37" s="44"/>
      <c r="B37" s="44"/>
      <c r="C37" s="44"/>
      <c r="D37" s="44"/>
      <c r="E37" s="44"/>
      <c r="F37" s="44"/>
      <c r="G37" s="44"/>
      <c r="H37" s="42"/>
      <c r="I37" s="44"/>
      <c r="J37" s="42"/>
      <c r="K37" s="42"/>
      <c r="L37" s="44"/>
      <c r="M37" s="51"/>
      <c r="N37" s="52"/>
      <c r="O37" s="52"/>
      <c r="P37" s="75"/>
      <c r="Q37" s="58"/>
      <c r="R37" s="44"/>
      <c r="S37" s="75"/>
      <c r="T37" s="58"/>
      <c r="U37" s="78"/>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75"/>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idden="1">
      <c r="A48" s="43">
        <v>3</v>
      </c>
      <c r="B48" s="43"/>
      <c r="C48" s="43"/>
      <c r="D48" s="43"/>
      <c r="E48" s="43"/>
      <c r="F48" s="43"/>
      <c r="G48" s="43"/>
      <c r="H48" s="71"/>
      <c r="I48" s="43"/>
      <c r="J48" s="71"/>
      <c r="K48" s="71"/>
      <c r="L48" s="43"/>
      <c r="M48" s="49"/>
      <c r="N48" s="50"/>
      <c r="O48" s="50"/>
      <c r="P48" s="76"/>
      <c r="Q48" s="55">
        <f>SUM(Q49:Q69)</f>
        <v>0</v>
      </c>
      <c r="R48" s="43"/>
      <c r="S48" s="43"/>
      <c r="T48" s="43"/>
      <c r="U48" s="56"/>
      <c r="V48" s="50"/>
      <c r="W48" s="43"/>
      <c r="X48" s="57"/>
      <c r="Y48" s="43"/>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2">B48</f>
        <v>0</v>
      </c>
      <c r="C70" s="43">
        <f t="shared" si="2"/>
        <v>0</v>
      </c>
      <c r="D70" s="43">
        <f t="shared" si="2"/>
        <v>0</v>
      </c>
      <c r="E70" s="43">
        <f t="shared" si="2"/>
        <v>0</v>
      </c>
      <c r="F70" s="43">
        <f t="shared" si="2"/>
        <v>0</v>
      </c>
      <c r="G70" s="43">
        <f t="shared" si="2"/>
        <v>0</v>
      </c>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3">B70</f>
        <v>0</v>
      </c>
      <c r="C92" s="43">
        <f t="shared" si="3"/>
        <v>0</v>
      </c>
      <c r="D92" s="43">
        <f t="shared" si="3"/>
        <v>0</v>
      </c>
      <c r="E92" s="43">
        <f t="shared" si="3"/>
        <v>0</v>
      </c>
      <c r="F92" s="43">
        <f t="shared" si="3"/>
        <v>0</v>
      </c>
      <c r="G92" s="43">
        <f t="shared" si="3"/>
        <v>0</v>
      </c>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2500</v>
      </c>
      <c r="L114" s="43"/>
      <c r="M114" s="49"/>
      <c r="N114" s="50"/>
      <c r="O114" s="50"/>
      <c r="P114" s="76"/>
      <c r="Q114" s="43"/>
      <c r="R114" s="43">
        <f>R92+R70+R48+R26++R4</f>
        <v>37.94</v>
      </c>
      <c r="S114" s="43"/>
      <c r="T114" s="43"/>
      <c r="U114" s="43"/>
      <c r="V114" s="43"/>
      <c r="W114" s="43"/>
      <c r="X114" s="43"/>
      <c r="Y114" s="43">
        <f>Y92+Y70+Y48+Y26++Y4</f>
        <v>37.94</v>
      </c>
      <c r="Z114" s="43"/>
      <c r="AA114" s="43"/>
      <c r="AB114" s="43"/>
    </row>
    <row r="115" spans="1:28">
      <c r="I115" s="36" t="s">
        <v>49</v>
      </c>
      <c r="K115" s="72">
        <f>IF(K114&gt;3000,K116,K114)</f>
        <v>2500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AD116"/>
  <sheetViews>
    <sheetView topLeftCell="M1" zoomScale="90" zoomScaleNormal="90" workbookViewId="0">
      <pane ySplit="3" topLeftCell="A4" activePane="bottomLeft" state="frozen"/>
      <selection pane="bottomLeft" activeCell="N4" sqref="N4:AB4"/>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成都友一包装材料有限公司审计明细表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56">
      <c r="A4" s="43">
        <v>1</v>
      </c>
      <c r="B4" s="43" t="s">
        <v>680</v>
      </c>
      <c r="C4" s="43" t="s">
        <v>1213</v>
      </c>
      <c r="D4" s="43" t="s">
        <v>1214</v>
      </c>
      <c r="E4" s="43" t="s">
        <v>1100</v>
      </c>
      <c r="F4" s="43" t="s">
        <v>1215</v>
      </c>
      <c r="G4" s="43" t="s">
        <v>1216</v>
      </c>
      <c r="H4" s="43" t="s">
        <v>156</v>
      </c>
      <c r="I4" s="43" t="s">
        <v>72</v>
      </c>
      <c r="J4" s="43" t="s">
        <v>58</v>
      </c>
      <c r="K4" s="43">
        <v>2000</v>
      </c>
      <c r="L4" s="43" t="s">
        <v>1217</v>
      </c>
      <c r="M4" s="49" t="s">
        <v>1218</v>
      </c>
      <c r="N4" s="50">
        <v>44868</v>
      </c>
      <c r="O4" s="50">
        <v>45207</v>
      </c>
      <c r="P4" s="43">
        <f>P15-N4</f>
        <v>339</v>
      </c>
      <c r="Q4" s="55">
        <f>SUM(Q5:Q25)</f>
        <v>79.069999999999993</v>
      </c>
      <c r="R4" s="55">
        <v>37.26</v>
      </c>
      <c r="S4" s="43"/>
      <c r="T4" s="55">
        <f>SUM(T5:T25)</f>
        <v>79.78</v>
      </c>
      <c r="U4" s="56">
        <v>4.2000000000000003E-2</v>
      </c>
      <c r="V4" s="50"/>
      <c r="W4" s="43" t="s">
        <v>1219</v>
      </c>
      <c r="X4" s="57">
        <v>0.02</v>
      </c>
      <c r="Y4" s="43">
        <f>ROUNDDOWN(IF((O4-N4+1)*K4*X4/365&gt;R4,R4,(O4-N4+1)*K4*X4/365),2)</f>
        <v>37.26</v>
      </c>
      <c r="Z4" s="55">
        <f>R4-Y4</f>
        <v>0</v>
      </c>
      <c r="AA4" s="55"/>
      <c r="AB4" s="43" t="s">
        <v>61</v>
      </c>
      <c r="AD4" s="61">
        <f>(O4-N4+1)*K4*X4/365</f>
        <v>37.260300000000001</v>
      </c>
    </row>
    <row r="5" spans="1:30" s="35" customFormat="1">
      <c r="A5" s="44"/>
      <c r="B5" s="44"/>
      <c r="C5" s="44"/>
      <c r="D5" s="44"/>
      <c r="E5" s="44"/>
      <c r="F5" s="44"/>
      <c r="G5" s="44"/>
      <c r="H5" s="44"/>
      <c r="I5" s="44"/>
      <c r="J5" s="44"/>
      <c r="K5" s="44"/>
      <c r="L5" s="44"/>
      <c r="M5" s="51"/>
      <c r="N5" s="52"/>
      <c r="O5" s="52"/>
      <c r="P5" s="75">
        <v>44916</v>
      </c>
      <c r="Q5" s="58">
        <v>11.2</v>
      </c>
      <c r="R5" s="75"/>
      <c r="S5" s="75">
        <v>44916</v>
      </c>
      <c r="T5" s="58">
        <f>(S5-N4)/360*$U$4*$K$4</f>
        <v>11.2</v>
      </c>
      <c r="U5" s="78">
        <f t="shared" ref="U5:U15" si="0">T5-Q5</f>
        <v>0</v>
      </c>
      <c r="V5" s="52">
        <v>45207</v>
      </c>
      <c r="W5" s="44">
        <v>2000</v>
      </c>
      <c r="X5" s="44"/>
      <c r="Y5" s="44">
        <f>ROUNDDOWN((V5-N4)*K4*X4/365,2)</f>
        <v>37.15</v>
      </c>
      <c r="Z5" s="44"/>
      <c r="AA5" s="44"/>
      <c r="AB5" s="44"/>
    </row>
    <row r="6" spans="1:30" s="35" customFormat="1">
      <c r="A6" s="44"/>
      <c r="B6" s="44"/>
      <c r="C6" s="44"/>
      <c r="D6" s="44"/>
      <c r="E6" s="44"/>
      <c r="F6" s="44"/>
      <c r="G6" s="44"/>
      <c r="H6" s="44"/>
      <c r="I6" s="44"/>
      <c r="J6" s="44"/>
      <c r="K6" s="44"/>
      <c r="L6" s="44"/>
      <c r="M6" s="51"/>
      <c r="N6" s="52"/>
      <c r="O6" s="52"/>
      <c r="P6" s="75">
        <v>44947</v>
      </c>
      <c r="Q6" s="58">
        <v>7.23</v>
      </c>
      <c r="R6" s="75"/>
      <c r="S6" s="75">
        <v>44947</v>
      </c>
      <c r="T6" s="58">
        <f>(S6-S5)*$K$4*$U$4/360</f>
        <v>7.23</v>
      </c>
      <c r="U6" s="78">
        <f t="shared" si="0"/>
        <v>0</v>
      </c>
      <c r="V6" s="44"/>
      <c r="W6" s="44"/>
      <c r="X6" s="44"/>
      <c r="Y6" s="44"/>
      <c r="Z6" s="44"/>
      <c r="AA6" s="44"/>
      <c r="AB6" s="44"/>
    </row>
    <row r="7" spans="1:30" s="35" customFormat="1">
      <c r="A7" s="44"/>
      <c r="B7" s="44"/>
      <c r="C7" s="44"/>
      <c r="D7" s="44"/>
      <c r="E7" s="44"/>
      <c r="F7" s="44"/>
      <c r="G7" s="44"/>
      <c r="H7" s="44"/>
      <c r="I7" s="44"/>
      <c r="J7" s="44"/>
      <c r="K7" s="44"/>
      <c r="L7" s="44"/>
      <c r="M7" s="51"/>
      <c r="N7" s="52"/>
      <c r="O7" s="52"/>
      <c r="P7" s="75">
        <v>44978</v>
      </c>
      <c r="Q7" s="58">
        <v>7.23</v>
      </c>
      <c r="R7" s="75"/>
      <c r="S7" s="75">
        <v>44978</v>
      </c>
      <c r="T7" s="58">
        <f>(S7-S6)*$K$4*$U$4/360</f>
        <v>7.23</v>
      </c>
      <c r="U7" s="78">
        <f t="shared" si="0"/>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45006</v>
      </c>
      <c r="Q8" s="58">
        <v>6.53</v>
      </c>
      <c r="R8" s="75"/>
      <c r="S8" s="75">
        <v>45006</v>
      </c>
      <c r="T8" s="58">
        <f>(S7-S6)*$K$4*$U$4/360</f>
        <v>7.23</v>
      </c>
      <c r="U8" s="78">
        <f t="shared" si="0"/>
        <v>0.7</v>
      </c>
      <c r="V8" s="44"/>
      <c r="W8" s="44"/>
      <c r="X8" s="44"/>
      <c r="Y8" s="44"/>
      <c r="Z8" s="44"/>
      <c r="AA8" s="44"/>
      <c r="AB8" s="44"/>
    </row>
    <row r="9" spans="1:30" s="35" customFormat="1">
      <c r="A9" s="44"/>
      <c r="B9" s="44"/>
      <c r="C9" s="44"/>
      <c r="D9" s="44"/>
      <c r="E9" s="44"/>
      <c r="F9" s="44"/>
      <c r="G9" s="44"/>
      <c r="H9" s="44"/>
      <c r="I9" s="44"/>
      <c r="J9" s="44"/>
      <c r="K9" s="44"/>
      <c r="L9" s="44"/>
      <c r="M9" s="51"/>
      <c r="N9" s="52"/>
      <c r="O9" s="52"/>
      <c r="P9" s="75">
        <v>45037</v>
      </c>
      <c r="Q9" s="58">
        <v>7.23</v>
      </c>
      <c r="R9" s="75"/>
      <c r="S9" s="75">
        <v>45037</v>
      </c>
      <c r="T9" s="58">
        <f t="shared" ref="T9:T15" si="1">(S9-S8)*$K$4*$U$4/360</f>
        <v>7.23</v>
      </c>
      <c r="U9" s="78">
        <f t="shared" si="0"/>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75">
        <v>45067</v>
      </c>
      <c r="Q10" s="58">
        <v>7</v>
      </c>
      <c r="R10" s="75"/>
      <c r="S10" s="75">
        <v>45067</v>
      </c>
      <c r="T10" s="58">
        <f t="shared" si="1"/>
        <v>7</v>
      </c>
      <c r="U10" s="78">
        <f t="shared" si="0"/>
        <v>0</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75">
        <v>45098</v>
      </c>
      <c r="Q11" s="58">
        <v>7.23</v>
      </c>
      <c r="R11" s="75"/>
      <c r="S11" s="75">
        <v>45098</v>
      </c>
      <c r="T11" s="58">
        <f t="shared" si="1"/>
        <v>7.23</v>
      </c>
      <c r="U11" s="78">
        <f t="shared" si="0"/>
        <v>0</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75">
        <v>45128</v>
      </c>
      <c r="Q12" s="58">
        <v>7</v>
      </c>
      <c r="R12" s="75"/>
      <c r="S12" s="75">
        <v>45128</v>
      </c>
      <c r="T12" s="58">
        <f t="shared" si="1"/>
        <v>7</v>
      </c>
      <c r="U12" s="78">
        <f t="shared" si="0"/>
        <v>0</v>
      </c>
      <c r="V12" s="44"/>
      <c r="W12" s="44"/>
      <c r="X12" s="44"/>
      <c r="Y12" s="44"/>
      <c r="Z12" s="44"/>
      <c r="AA12" s="44"/>
      <c r="AB12" s="44"/>
    </row>
    <row r="13" spans="1:30" s="35" customFormat="1">
      <c r="A13" s="44"/>
      <c r="B13" s="44"/>
      <c r="C13" s="44"/>
      <c r="D13" s="44"/>
      <c r="E13" s="44"/>
      <c r="F13" s="44"/>
      <c r="G13" s="44"/>
      <c r="H13" s="44"/>
      <c r="I13" s="44"/>
      <c r="J13" s="44"/>
      <c r="K13" s="44"/>
      <c r="L13" s="44"/>
      <c r="M13" s="51"/>
      <c r="N13" s="52"/>
      <c r="O13" s="52"/>
      <c r="P13" s="75">
        <v>45159</v>
      </c>
      <c r="Q13" s="58">
        <v>7.23</v>
      </c>
      <c r="R13" s="75"/>
      <c r="S13" s="75">
        <v>45159</v>
      </c>
      <c r="T13" s="58">
        <f t="shared" si="1"/>
        <v>7.23</v>
      </c>
      <c r="U13" s="78">
        <f t="shared" si="0"/>
        <v>0</v>
      </c>
      <c r="V13" s="44"/>
      <c r="W13" s="44"/>
      <c r="X13" s="44"/>
      <c r="Y13" s="44"/>
      <c r="Z13" s="44"/>
      <c r="AA13" s="44"/>
      <c r="AB13" s="44"/>
    </row>
    <row r="14" spans="1:30" s="35" customFormat="1">
      <c r="A14" s="44"/>
      <c r="B14" s="44"/>
      <c r="C14" s="44"/>
      <c r="D14" s="44"/>
      <c r="E14" s="44"/>
      <c r="F14" s="44"/>
      <c r="G14" s="44"/>
      <c r="H14" s="44"/>
      <c r="I14" s="44"/>
      <c r="J14" s="44"/>
      <c r="K14" s="44"/>
      <c r="L14" s="44"/>
      <c r="M14" s="51"/>
      <c r="N14" s="52"/>
      <c r="O14" s="52"/>
      <c r="P14" s="75">
        <v>45190</v>
      </c>
      <c r="Q14" s="58">
        <v>7.23</v>
      </c>
      <c r="R14" s="75"/>
      <c r="S14" s="75">
        <v>45190</v>
      </c>
      <c r="T14" s="58">
        <f t="shared" si="1"/>
        <v>7.23</v>
      </c>
      <c r="U14" s="78">
        <f t="shared" si="0"/>
        <v>0</v>
      </c>
      <c r="V14" s="44"/>
      <c r="W14" s="44"/>
      <c r="X14" s="44"/>
      <c r="Y14" s="44"/>
      <c r="Z14" s="44"/>
      <c r="AA14" s="44"/>
      <c r="AB14" s="44"/>
    </row>
    <row r="15" spans="1:30" s="35" customFormat="1">
      <c r="A15" s="44"/>
      <c r="B15" s="44"/>
      <c r="C15" s="44"/>
      <c r="D15" s="44"/>
      <c r="E15" s="44"/>
      <c r="F15" s="44"/>
      <c r="G15" s="44"/>
      <c r="H15" s="44"/>
      <c r="I15" s="44"/>
      <c r="J15" s="44"/>
      <c r="K15" s="44"/>
      <c r="L15" s="44"/>
      <c r="M15" s="51"/>
      <c r="N15" s="52"/>
      <c r="O15" s="52"/>
      <c r="P15" s="75">
        <v>45207</v>
      </c>
      <c r="Q15" s="58">
        <v>3.96</v>
      </c>
      <c r="R15" s="75"/>
      <c r="S15" s="75">
        <v>45207</v>
      </c>
      <c r="T15" s="58">
        <f t="shared" si="1"/>
        <v>3.97</v>
      </c>
      <c r="U15" s="58">
        <f t="shared" si="0"/>
        <v>0.01</v>
      </c>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75"/>
      <c r="S16" s="75"/>
      <c r="T16" s="58"/>
      <c r="U16" s="7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75"/>
      <c r="T17" s="58"/>
      <c r="U17" s="7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2">B26</f>
        <v>0</v>
      </c>
      <c r="C48" s="43">
        <f t="shared" si="2"/>
        <v>0</v>
      </c>
      <c r="D48" s="43">
        <f t="shared" si="2"/>
        <v>0</v>
      </c>
      <c r="E48" s="43">
        <f t="shared" si="2"/>
        <v>0</v>
      </c>
      <c r="F48" s="43">
        <f t="shared" si="2"/>
        <v>0</v>
      </c>
      <c r="G48" s="43">
        <f t="shared" si="2"/>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2000</v>
      </c>
      <c r="L114" s="43"/>
      <c r="M114" s="49"/>
      <c r="N114" s="50"/>
      <c r="O114" s="50"/>
      <c r="P114" s="76"/>
      <c r="Q114" s="43"/>
      <c r="R114" s="43">
        <f>R92+R70+R48+R26++R4</f>
        <v>37.26</v>
      </c>
      <c r="S114" s="43"/>
      <c r="T114" s="43"/>
      <c r="U114" s="43"/>
      <c r="V114" s="43"/>
      <c r="W114" s="43"/>
      <c r="X114" s="43"/>
      <c r="Y114" s="43">
        <f>Y92+Y70+Y48+Y26++Y4</f>
        <v>37.26</v>
      </c>
      <c r="Z114" s="43"/>
      <c r="AA114" s="43"/>
      <c r="AB114" s="43"/>
    </row>
    <row r="115" spans="1:28">
      <c r="I115" s="36" t="s">
        <v>49</v>
      </c>
      <c r="K115" s="36">
        <f>IF(K114&gt;3000,K116,K114)</f>
        <v>2000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D116"/>
  <sheetViews>
    <sheetView zoomScale="80" zoomScaleNormal="80" workbookViewId="0">
      <pane ySplit="3" topLeftCell="A4" activePane="bottomLeft" state="frozen"/>
      <selection pane="bottomLeft" activeCell="B116" sqref="B116"/>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民航成都电子技术有限责任公司审计明细表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690</v>
      </c>
      <c r="C4" s="43" t="s">
        <v>52</v>
      </c>
      <c r="D4" s="152" t="s">
        <v>1220</v>
      </c>
      <c r="E4" s="71" t="s">
        <v>373</v>
      </c>
      <c r="F4" s="43" t="s">
        <v>1221</v>
      </c>
      <c r="G4" s="43" t="s">
        <v>1222</v>
      </c>
      <c r="H4" s="71" t="s">
        <v>156</v>
      </c>
      <c r="I4" s="43" t="s">
        <v>1223</v>
      </c>
      <c r="J4" s="71" t="s">
        <v>58</v>
      </c>
      <c r="K4" s="71">
        <v>3000</v>
      </c>
      <c r="L4" s="43" t="s">
        <v>1224</v>
      </c>
      <c r="M4" s="49" t="s">
        <v>1225</v>
      </c>
      <c r="N4" s="50">
        <v>45105</v>
      </c>
      <c r="O4" s="50">
        <v>45291</v>
      </c>
      <c r="P4" s="43">
        <f>P11-N4</f>
        <v>186</v>
      </c>
      <c r="Q4" s="55">
        <f>SUM(Q5:Q25)</f>
        <v>46.47</v>
      </c>
      <c r="R4" s="55">
        <v>30.98</v>
      </c>
      <c r="S4" s="43"/>
      <c r="T4" s="55">
        <f>SUM(T5:T25)</f>
        <v>46.5</v>
      </c>
      <c r="U4" s="56">
        <v>0.03</v>
      </c>
      <c r="V4" s="50"/>
      <c r="W4" s="43" t="s">
        <v>42</v>
      </c>
      <c r="X4" s="77">
        <v>0.02</v>
      </c>
      <c r="Y4" s="43">
        <f>ROUNDDOWN(IF((O4-N4+1)*K4*X4/365&gt;R4,R4,(O4-N4+1)*K4*X4/365),2)</f>
        <v>30.73</v>
      </c>
      <c r="Z4" s="55">
        <f>R4-Y4</f>
        <v>0.25</v>
      </c>
      <c r="AA4" s="55" t="s">
        <v>177</v>
      </c>
      <c r="AB4" s="43" t="s">
        <v>61</v>
      </c>
      <c r="AD4" s="61">
        <f>(O4-N4+1)*K4*X4/365</f>
        <v>30.739699999999999</v>
      </c>
    </row>
    <row r="5" spans="1:30" s="35" customFormat="1">
      <c r="A5" s="44"/>
      <c r="B5" s="44"/>
      <c r="C5" s="44"/>
      <c r="D5" s="44"/>
      <c r="E5" s="42"/>
      <c r="F5" s="44"/>
      <c r="G5" s="44"/>
      <c r="H5" s="42"/>
      <c r="I5" s="44"/>
      <c r="J5" s="42"/>
      <c r="K5" s="42"/>
      <c r="L5" s="44"/>
      <c r="M5" s="51"/>
      <c r="N5" s="52"/>
      <c r="O5" s="50">
        <v>45470</v>
      </c>
      <c r="P5" s="75">
        <v>45128</v>
      </c>
      <c r="Q5" s="58">
        <v>5.75</v>
      </c>
      <c r="R5" s="44"/>
      <c r="S5" s="75">
        <v>45128</v>
      </c>
      <c r="T5" s="58">
        <f>(S5-N4)/360*$U$4*$K$4</f>
        <v>5.75</v>
      </c>
      <c r="U5" s="78">
        <f t="shared" ref="U5:U11" si="0">T5-Q5</f>
        <v>0</v>
      </c>
      <c r="V5" s="52"/>
      <c r="W5" s="58"/>
      <c r="X5" s="42"/>
      <c r="Y5" s="44">
        <f>ROUNDDOWN((V5-N4)*K4*X4/365,2)</f>
        <v>-7414.52</v>
      </c>
      <c r="Z5" s="44"/>
      <c r="AA5" s="44"/>
      <c r="AB5" s="44"/>
    </row>
    <row r="6" spans="1:30" s="35" customFormat="1">
      <c r="A6" s="44"/>
      <c r="B6" s="44"/>
      <c r="C6" s="44"/>
      <c r="D6" s="44"/>
      <c r="E6" s="42"/>
      <c r="F6" s="44"/>
      <c r="G6" s="44"/>
      <c r="H6" s="42"/>
      <c r="I6" s="44"/>
      <c r="J6" s="42"/>
      <c r="K6" s="42"/>
      <c r="L6" s="44"/>
      <c r="M6" s="51"/>
      <c r="N6" s="52"/>
      <c r="O6" s="52"/>
      <c r="P6" s="75">
        <v>45159</v>
      </c>
      <c r="Q6" s="58">
        <v>7.75</v>
      </c>
      <c r="R6" s="44"/>
      <c r="S6" s="75">
        <v>45159</v>
      </c>
      <c r="T6" s="58">
        <f t="shared" ref="T6:T11" si="1">(S6-S5)*$K$4*$U$4/360</f>
        <v>7.75</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45190</v>
      </c>
      <c r="Q7" s="58">
        <v>7.75</v>
      </c>
      <c r="R7" s="44"/>
      <c r="S7" s="75">
        <v>45190</v>
      </c>
      <c r="T7" s="58">
        <f t="shared" si="1"/>
        <v>7.75</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45220</v>
      </c>
      <c r="Q8" s="58">
        <v>7.5</v>
      </c>
      <c r="R8" s="44"/>
      <c r="S8" s="75">
        <v>45220</v>
      </c>
      <c r="T8" s="58">
        <f t="shared" si="1"/>
        <v>7.5</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45251</v>
      </c>
      <c r="Q9" s="58">
        <v>7.75</v>
      </c>
      <c r="R9" s="44"/>
      <c r="S9" s="75">
        <v>45251</v>
      </c>
      <c r="T9" s="58">
        <f t="shared" si="1"/>
        <v>7.75</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45281</v>
      </c>
      <c r="Q10" s="58">
        <v>7.5</v>
      </c>
      <c r="R10" s="44"/>
      <c r="S10" s="75">
        <v>45281</v>
      </c>
      <c r="T10" s="58">
        <f t="shared" si="1"/>
        <v>7.5</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45291</v>
      </c>
      <c r="Q11" s="58">
        <v>2.4700000000000002</v>
      </c>
      <c r="R11" s="44"/>
      <c r="S11" s="75">
        <v>45291</v>
      </c>
      <c r="T11" s="58">
        <f t="shared" si="1"/>
        <v>2.5</v>
      </c>
      <c r="U11" s="58">
        <f t="shared" si="0"/>
        <v>0.03</v>
      </c>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5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58">
        <f>T13-Q13</f>
        <v>0</v>
      </c>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f>(S14-S13)*$K$4*$U$4/360</f>
        <v>0</v>
      </c>
      <c r="U14" s="58">
        <f>T14-Q14</f>
        <v>0</v>
      </c>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f>(S15-S14)*$K$4*$U$4/360</f>
        <v>0</v>
      </c>
      <c r="U15" s="58">
        <f>T15-Q15</f>
        <v>0</v>
      </c>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f>(S16-S15)*$K$4*$U$4/360</f>
        <v>0</v>
      </c>
      <c r="U16" s="58">
        <f>T16-Q16</f>
        <v>0</v>
      </c>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53"/>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3000</v>
      </c>
      <c r="L114" s="43"/>
      <c r="M114" s="49"/>
      <c r="N114" s="50"/>
      <c r="O114" s="50"/>
      <c r="P114" s="76"/>
      <c r="Q114" s="43"/>
      <c r="R114" s="43">
        <f>R92+R70+R48+R26++R4</f>
        <v>30.98</v>
      </c>
      <c r="S114" s="43"/>
      <c r="T114" s="43"/>
      <c r="U114" s="43"/>
      <c r="V114" s="43"/>
      <c r="W114" s="43"/>
      <c r="X114" s="71"/>
      <c r="Y114" s="43">
        <f>Y92+Y70+Y48+Y26++Y4</f>
        <v>30.73</v>
      </c>
      <c r="Z114" s="43"/>
      <c r="AA114" s="43"/>
      <c r="AB114" s="43"/>
    </row>
    <row r="115" spans="1:28">
      <c r="I115" s="36" t="s">
        <v>49</v>
      </c>
      <c r="K115" s="72">
        <f>IF(K114&gt;3000,K116,K114)</f>
        <v>3000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116"/>
  <sheetViews>
    <sheetView topLeftCell="L1" zoomScale="80" zoomScaleNormal="80" workbookViewId="0">
      <pane ySplit="3" topLeftCell="A4" activePane="bottomLeft" state="frozen"/>
      <selection pane="bottomLeft" activeCell="I4" sqref="I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0" max="20" width="10.25" customWidth="1"/>
    <col min="22" max="22" width="11.5" customWidth="1"/>
    <col min="25" max="25" width="11.75" customWidth="1"/>
    <col min="29" max="29" width="9" hidden="1" customWidth="1"/>
    <col min="30" max="30" width="11.75" customWidth="1"/>
  </cols>
  <sheetData>
    <row r="1" spans="1:30" ht="25">
      <c r="B1" s="154" t="str">
        <f>B4&amp;AC1</f>
        <v>四川盛玖源环境工程有限公司审计明细表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36">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171</v>
      </c>
      <c r="C4" s="9" t="s">
        <v>32</v>
      </c>
      <c r="D4" s="9" t="s">
        <v>172</v>
      </c>
      <c r="E4" s="9" t="s">
        <v>146</v>
      </c>
      <c r="F4" s="9" t="s">
        <v>35</v>
      </c>
      <c r="G4" s="9" t="s">
        <v>173</v>
      </c>
      <c r="H4" s="9" t="s">
        <v>71</v>
      </c>
      <c r="I4" s="9" t="s">
        <v>174</v>
      </c>
      <c r="J4" s="9" t="s">
        <v>73</v>
      </c>
      <c r="K4" s="9">
        <v>450</v>
      </c>
      <c r="L4" s="9" t="s">
        <v>175</v>
      </c>
      <c r="M4" s="20" t="s">
        <v>176</v>
      </c>
      <c r="N4" s="15">
        <v>45230</v>
      </c>
      <c r="O4" s="15">
        <v>45291</v>
      </c>
      <c r="P4" s="9">
        <f>P6-N4</f>
        <v>142</v>
      </c>
      <c r="Q4" s="22">
        <f>SUM(Q5:Q25)</f>
        <v>6.4</v>
      </c>
      <c r="R4" s="22">
        <v>1.22</v>
      </c>
      <c r="S4" s="9"/>
      <c r="T4" s="22">
        <f>SUM(T5:T25)</f>
        <v>6.4</v>
      </c>
      <c r="U4" s="23">
        <v>3.5999999999999997E-2</v>
      </c>
      <c r="V4" s="16"/>
      <c r="W4" s="9" t="s">
        <v>42</v>
      </c>
      <c r="X4" s="24">
        <v>1.4999999999999999E-2</v>
      </c>
      <c r="Y4" s="9">
        <f>ROUNDDOWN(IF((O4-N4+1)*K4*X4/365&gt;R4,R4,(O4-N4+1)*K4*X4/365),2)</f>
        <v>1.1399999999999999</v>
      </c>
      <c r="Z4" s="22">
        <f>R4-Y4</f>
        <v>0.08</v>
      </c>
      <c r="AA4" s="22" t="s">
        <v>177</v>
      </c>
      <c r="AB4" s="9" t="s">
        <v>178</v>
      </c>
      <c r="AD4" s="28">
        <f>(O4-N4+1)*K4*X4/365</f>
        <v>1.1466000000000001</v>
      </c>
    </row>
    <row r="5" spans="1:30" s="2" customFormat="1">
      <c r="A5" s="10"/>
      <c r="B5" s="10"/>
      <c r="C5" s="10"/>
      <c r="D5" s="10"/>
      <c r="E5" s="10"/>
      <c r="F5" s="10"/>
      <c r="G5" s="10"/>
      <c r="H5" s="10"/>
      <c r="I5" s="10"/>
      <c r="J5" s="10"/>
      <c r="K5" s="10"/>
      <c r="L5" s="10"/>
      <c r="M5" s="17"/>
      <c r="N5" s="18"/>
      <c r="O5" s="15">
        <v>45596</v>
      </c>
      <c r="P5" s="19">
        <v>45281</v>
      </c>
      <c r="Q5" s="25">
        <v>2.2999999999999998</v>
      </c>
      <c r="R5" s="10"/>
      <c r="S5" s="19">
        <f>P5</f>
        <v>45281</v>
      </c>
      <c r="T5" s="25">
        <f>(S5-N4)/360*$U$4*$K$4</f>
        <v>2.2999999999999998</v>
      </c>
      <c r="U5" s="25">
        <f>T5-Q5</f>
        <v>0</v>
      </c>
      <c r="V5" s="18"/>
      <c r="W5" s="10"/>
      <c r="X5" s="10"/>
      <c r="Y5" s="10">
        <f>ROUNDDOWN((V5-N4)*K4*X4/365,2)</f>
        <v>-836.44</v>
      </c>
      <c r="Z5" s="10"/>
      <c r="AA5" s="10"/>
      <c r="AB5" s="10"/>
    </row>
    <row r="6" spans="1:30" s="2" customFormat="1">
      <c r="A6" s="10"/>
      <c r="B6" s="10"/>
      <c r="C6" s="10"/>
      <c r="D6" s="10"/>
      <c r="E6" s="10"/>
      <c r="F6" s="10"/>
      <c r="G6" s="10"/>
      <c r="H6" s="10"/>
      <c r="I6" s="10"/>
      <c r="J6" s="10"/>
      <c r="K6" s="10"/>
      <c r="L6" s="10"/>
      <c r="M6" s="17"/>
      <c r="N6" s="18"/>
      <c r="O6" s="18"/>
      <c r="P6" s="19">
        <v>45372</v>
      </c>
      <c r="Q6" s="25">
        <v>4.0999999999999996</v>
      </c>
      <c r="R6" s="10"/>
      <c r="S6" s="19">
        <f t="shared" ref="S6" si="0">P6</f>
        <v>45372</v>
      </c>
      <c r="T6" s="25">
        <f>(S6-S5)*$K$4*$U$4/360</f>
        <v>4.0999999999999996</v>
      </c>
      <c r="U6" s="25">
        <f>T6-Q6</f>
        <v>0</v>
      </c>
      <c r="V6" s="10"/>
      <c r="W6" s="10"/>
      <c r="X6" s="10"/>
      <c r="Y6" s="10"/>
      <c r="Z6" s="10"/>
      <c r="AA6" s="10"/>
      <c r="AB6" s="10"/>
    </row>
    <row r="7" spans="1:30" s="2" customFormat="1" hidden="1">
      <c r="A7" s="10"/>
      <c r="B7" s="10"/>
      <c r="C7" s="10"/>
      <c r="D7" s="10"/>
      <c r="E7" s="10"/>
      <c r="F7" s="10"/>
      <c r="G7" s="10"/>
      <c r="H7" s="10"/>
      <c r="I7" s="10"/>
      <c r="J7" s="10"/>
      <c r="K7" s="10"/>
      <c r="L7" s="10"/>
      <c r="M7" s="17"/>
      <c r="N7" s="18"/>
      <c r="O7" s="18"/>
      <c r="P7" s="19"/>
      <c r="Q7" s="25"/>
      <c r="R7" s="10"/>
      <c r="S7" s="19"/>
      <c r="T7" s="25"/>
      <c r="U7" s="25"/>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四川盛玖源环境工程有限公司</v>
      </c>
      <c r="C26" s="9" t="str">
        <f t="shared" ref="C26:G26" si="1">C4</f>
        <v>成都高新技术产业开发区市场监督管理局</v>
      </c>
      <c r="D26" s="9" t="str">
        <f t="shared" si="1"/>
        <v>91510100MA62Q8150A</v>
      </c>
      <c r="E26" s="9" t="str">
        <f t="shared" si="1"/>
        <v>有限责任公司</v>
      </c>
      <c r="F26" s="9" t="str">
        <f t="shared" si="1"/>
        <v>国家税务总局成都高新技术产业开发区税务局</v>
      </c>
      <c r="G26" s="9" t="str">
        <f t="shared" si="1"/>
        <v>122611954032中国银行成都东电支行</v>
      </c>
      <c r="H26" s="9"/>
      <c r="I26" s="9"/>
      <c r="J26" s="9"/>
      <c r="K26" s="9"/>
      <c r="L26" s="9"/>
      <c r="M26" s="20"/>
      <c r="N26" s="16"/>
      <c r="O26" s="16"/>
      <c r="P26" s="9">
        <f>P44-N26</f>
        <v>0</v>
      </c>
      <c r="Q26" s="22">
        <f>SUM(Q27:Q47)</f>
        <v>0</v>
      </c>
      <c r="R26" s="127"/>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2">P28</f>
        <v>0</v>
      </c>
      <c r="T28" s="25">
        <f>(S28-S27)*$U$26*$K$26/360</f>
        <v>0</v>
      </c>
      <c r="U28" s="25">
        <f t="shared" ref="U28:U37" si="3">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2"/>
        <v>0</v>
      </c>
      <c r="T29" s="25">
        <f t="shared" ref="T29:T36" si="4">(S29-S28)*$U$26*$K$26/360</f>
        <v>0</v>
      </c>
      <c r="U29" s="25">
        <f t="shared" si="3"/>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2"/>
        <v>0</v>
      </c>
      <c r="T30" s="25">
        <f t="shared" si="4"/>
        <v>0</v>
      </c>
      <c r="U30" s="25">
        <f t="shared" si="3"/>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2"/>
        <v>0</v>
      </c>
      <c r="T31" s="25">
        <f t="shared" si="4"/>
        <v>0</v>
      </c>
      <c r="U31" s="25">
        <f t="shared" si="3"/>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2"/>
        <v>0</v>
      </c>
      <c r="T32" s="25">
        <f t="shared" si="4"/>
        <v>0</v>
      </c>
      <c r="U32" s="25">
        <f t="shared" si="3"/>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2"/>
        <v>0</v>
      </c>
      <c r="T33" s="25">
        <f t="shared" si="4"/>
        <v>0</v>
      </c>
      <c r="U33" s="25">
        <f t="shared" si="3"/>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2"/>
        <v>0</v>
      </c>
      <c r="T34" s="25">
        <f t="shared" si="4"/>
        <v>0</v>
      </c>
      <c r="U34" s="25">
        <f t="shared" si="3"/>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2"/>
        <v>0</v>
      </c>
      <c r="T35" s="25">
        <f t="shared" si="4"/>
        <v>0</v>
      </c>
      <c r="U35" s="25">
        <f t="shared" si="3"/>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2"/>
        <v>0</v>
      </c>
      <c r="T36" s="25">
        <f t="shared" si="4"/>
        <v>0</v>
      </c>
      <c r="U36" s="25">
        <f t="shared" si="3"/>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3"/>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四川盛玖源环境工程有限公司</v>
      </c>
      <c r="C48" s="9" t="str">
        <f t="shared" ref="C48:G48" si="5">C26</f>
        <v>成都高新技术产业开发区市场监督管理局</v>
      </c>
      <c r="D48" s="9" t="str">
        <f t="shared" si="5"/>
        <v>91510100MA62Q8150A</v>
      </c>
      <c r="E48" s="9" t="str">
        <f t="shared" si="5"/>
        <v>有限责任公司</v>
      </c>
      <c r="F48" s="9" t="str">
        <f t="shared" si="5"/>
        <v>国家税务总局成都高新技术产业开发区税务局</v>
      </c>
      <c r="G48" s="9" t="str">
        <f t="shared" si="5"/>
        <v>122611954032中国银行成都东电支行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6">P50</f>
        <v>0</v>
      </c>
      <c r="T50" s="25">
        <f>(S50-S49)*$U$48*$K$48/360</f>
        <v>0</v>
      </c>
      <c r="U50" s="25">
        <f t="shared" ref="U50" si="7">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四川盛玖源环境工程有限公司</v>
      </c>
      <c r="C70" s="9" t="str">
        <f t="shared" ref="C70:G70" si="8">C48</f>
        <v>成都高新技术产业开发区市场监督管理局</v>
      </c>
      <c r="D70" s="9" t="str">
        <f t="shared" si="8"/>
        <v>91510100MA62Q8150A</v>
      </c>
      <c r="E70" s="9" t="str">
        <f t="shared" si="8"/>
        <v>有限责任公司</v>
      </c>
      <c r="F70" s="9" t="str">
        <f t="shared" si="8"/>
        <v>国家税务总局成都高新技术产业开发区税务局</v>
      </c>
      <c r="G70" s="9" t="str">
        <f t="shared" si="8"/>
        <v>122611954032中国银行成都东电支行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四川盛玖源环境工程有限公司</v>
      </c>
      <c r="C92" s="9" t="str">
        <f t="shared" ref="C92:G92" si="9">C70</f>
        <v>成都高新技术产业开发区市场监督管理局</v>
      </c>
      <c r="D92" s="9" t="str">
        <f t="shared" si="9"/>
        <v>91510100MA62Q8150A</v>
      </c>
      <c r="E92" s="9" t="str">
        <f t="shared" si="9"/>
        <v>有限责任公司</v>
      </c>
      <c r="F92" s="9" t="str">
        <f t="shared" si="9"/>
        <v>国家税务总局成都高新技术产业开发区税务局</v>
      </c>
      <c r="G92" s="9" t="str">
        <f t="shared" si="9"/>
        <v>122611954032中国银行成都东电支行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450</v>
      </c>
      <c r="L114" s="9"/>
      <c r="M114" s="20"/>
      <c r="N114" s="16"/>
      <c r="O114" s="16"/>
      <c r="P114" s="9"/>
      <c r="Q114" s="9"/>
      <c r="R114" s="22">
        <f>R92+R70+R48+R26+R4</f>
        <v>1.22</v>
      </c>
      <c r="S114" s="9"/>
      <c r="T114" s="9"/>
      <c r="U114" s="9"/>
      <c r="V114" s="9"/>
      <c r="W114" s="9"/>
      <c r="X114" s="9"/>
      <c r="Y114" s="9">
        <f>Y92+Y70+Y48+Y26++Y4</f>
        <v>1.1399999999999999</v>
      </c>
      <c r="Z114" s="9"/>
      <c r="AA114" s="9"/>
      <c r="AB114" s="9"/>
    </row>
    <row r="115" spans="1:28">
      <c r="I115" t="s">
        <v>49</v>
      </c>
      <c r="K115">
        <f>IF(K114&gt;3000,K116,K114)</f>
        <v>450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AD58"/>
  <sheetViews>
    <sheetView topLeftCell="H1" zoomScale="60" zoomScaleNormal="60" workbookViewId="0">
      <pane ySplit="3" topLeftCell="A4" activePane="bottomLeft" state="frozen"/>
      <selection pane="bottomLeft" activeCell="W8" sqref="W8"/>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1.5" style="36" customWidth="1"/>
    <col min="17" max="18" width="9" style="36"/>
    <col min="19" max="19" width="9.83203125" style="36" customWidth="1"/>
    <col min="20" max="21" width="9" style="36"/>
    <col min="22" max="22" width="11.5" style="36" customWidth="1"/>
    <col min="23" max="23" width="9.83203125" style="36" customWidth="1"/>
    <col min="24" max="24" width="9" style="36"/>
    <col min="25" max="25" width="10.25" style="36" customWidth="1"/>
    <col min="26" max="28" width="9" style="36"/>
    <col min="29" max="29" width="9" style="36" hidden="1" customWidth="1"/>
    <col min="30" max="16384" width="9" style="36"/>
  </cols>
  <sheetData>
    <row r="1" spans="1:30" ht="25">
      <c r="B1" s="163" t="str">
        <f>B4&amp;AC1</f>
        <v>成都康乐汇食品有限公司审计明细表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30" s="34" customFormat="1" ht="126">
      <c r="A4" s="43">
        <v>1</v>
      </c>
      <c r="B4" s="43" t="s">
        <v>631</v>
      </c>
      <c r="C4" s="43" t="s">
        <v>1226</v>
      </c>
      <c r="D4" s="43" t="s">
        <v>1227</v>
      </c>
      <c r="E4" s="43" t="s">
        <v>146</v>
      </c>
      <c r="F4" s="43" t="s">
        <v>1228</v>
      </c>
      <c r="G4" s="43" t="s">
        <v>1229</v>
      </c>
      <c r="H4" s="43" t="s">
        <v>958</v>
      </c>
      <c r="I4" s="43" t="s">
        <v>1230</v>
      </c>
      <c r="J4" s="43">
        <v>24</v>
      </c>
      <c r="K4" s="43">
        <v>350</v>
      </c>
      <c r="L4" s="43" t="s">
        <v>1231</v>
      </c>
      <c r="M4" s="43" t="s">
        <v>1232</v>
      </c>
      <c r="N4" s="65">
        <v>44963</v>
      </c>
      <c r="O4" s="65">
        <v>45291</v>
      </c>
      <c r="P4" s="43">
        <f>P10-N4</f>
        <v>409</v>
      </c>
      <c r="Q4" s="55">
        <f>SUM(Q5:Q10)</f>
        <v>15.2</v>
      </c>
      <c r="R4" s="55">
        <v>4.7300000000000004</v>
      </c>
      <c r="S4" s="43"/>
      <c r="T4" s="55">
        <f>SUM(T5:T10)</f>
        <v>14.71</v>
      </c>
      <c r="U4" s="56">
        <v>3.6999999999999998E-2</v>
      </c>
      <c r="V4" s="50"/>
      <c r="W4" s="43" t="s">
        <v>42</v>
      </c>
      <c r="X4" s="57">
        <v>1.4999999999999999E-2</v>
      </c>
      <c r="Y4" s="43">
        <f>ROUNDDOWN(IF((O4-N4+1)*K4*X4/365&gt;R4,R4,(O4-N4+1)*K4*X4/365),2)</f>
        <v>4.7300000000000004</v>
      </c>
      <c r="Z4" s="55">
        <f>R4-Y4</f>
        <v>0</v>
      </c>
      <c r="AA4" s="55"/>
      <c r="AB4" s="43" t="s">
        <v>61</v>
      </c>
    </row>
    <row r="5" spans="1:30" s="35" customFormat="1">
      <c r="A5" s="44"/>
      <c r="B5" s="44"/>
      <c r="C5" s="44"/>
      <c r="D5" s="44"/>
      <c r="E5" s="44"/>
      <c r="F5" s="44"/>
      <c r="G5" s="44"/>
      <c r="H5" s="44"/>
      <c r="I5" s="44"/>
      <c r="J5" s="44"/>
      <c r="K5" s="44"/>
      <c r="L5" s="44"/>
      <c r="M5" s="63"/>
      <c r="N5" s="52"/>
      <c r="O5" s="53">
        <v>45693</v>
      </c>
      <c r="P5" s="53">
        <v>45006</v>
      </c>
      <c r="Q5" s="58">
        <v>1.55</v>
      </c>
      <c r="R5" s="44"/>
      <c r="S5" s="53">
        <v>45006</v>
      </c>
      <c r="T5" s="58">
        <f>(S5-N4)/360*$U$4*$K$4</f>
        <v>1.55</v>
      </c>
      <c r="U5" s="58">
        <f>T5-Q5</f>
        <v>0</v>
      </c>
      <c r="V5" s="52"/>
      <c r="W5" s="62"/>
      <c r="X5" s="44"/>
      <c r="Y5" s="62">
        <f>ROUNDUP((V5-N4)*K4*X4/365,2)</f>
        <v>-646.73</v>
      </c>
      <c r="Z5" s="44"/>
      <c r="AA5" s="44"/>
      <c r="AB5" s="44"/>
    </row>
    <row r="6" spans="1:30" s="35" customFormat="1">
      <c r="A6" s="44"/>
      <c r="B6" s="44"/>
      <c r="C6" s="44"/>
      <c r="D6" s="44"/>
      <c r="E6" s="44"/>
      <c r="F6" s="44"/>
      <c r="G6" s="44"/>
      <c r="H6" s="44"/>
      <c r="I6" s="44"/>
      <c r="J6" s="44"/>
      <c r="K6" s="44"/>
      <c r="L6" s="44"/>
      <c r="M6" s="63"/>
      <c r="N6" s="52"/>
      <c r="O6" s="53"/>
      <c r="P6" s="53">
        <v>45098</v>
      </c>
      <c r="Q6" s="58">
        <v>3.31</v>
      </c>
      <c r="R6" s="44"/>
      <c r="S6" s="53">
        <v>45098</v>
      </c>
      <c r="T6" s="58">
        <f>(S6-S5)/360*$U$4*$K$4</f>
        <v>3.31</v>
      </c>
      <c r="U6" s="58">
        <f>T6-Q6</f>
        <v>0</v>
      </c>
      <c r="V6" s="52"/>
      <c r="W6" s="62"/>
      <c r="X6" s="44"/>
      <c r="Y6" s="62">
        <f>ROUNDUP((O4-V5+1)*(K4-W5)*X4/365,2)</f>
        <v>651.47</v>
      </c>
      <c r="Z6" s="44"/>
      <c r="AA6" s="44"/>
      <c r="AB6" s="44"/>
    </row>
    <row r="7" spans="1:30" s="35" customFormat="1">
      <c r="A7" s="44"/>
      <c r="B7" s="44"/>
      <c r="C7" s="44"/>
      <c r="D7" s="44"/>
      <c r="E7" s="44"/>
      <c r="F7" s="44"/>
      <c r="G7" s="44"/>
      <c r="H7" s="44"/>
      <c r="I7" s="44"/>
      <c r="J7" s="44"/>
      <c r="K7" s="44"/>
      <c r="L7" s="44"/>
      <c r="M7" s="44"/>
      <c r="N7" s="52"/>
      <c r="O7" s="53"/>
      <c r="P7" s="53">
        <v>45190</v>
      </c>
      <c r="Q7" s="58">
        <v>3.31</v>
      </c>
      <c r="R7" s="44"/>
      <c r="S7" s="53">
        <v>45190</v>
      </c>
      <c r="T7" s="58">
        <f t="shared" ref="T7:T10" si="0">(S7-S6)/360*$U$4*$K$4</f>
        <v>3.31</v>
      </c>
      <c r="U7" s="58">
        <f>T7-Q7</f>
        <v>0</v>
      </c>
      <c r="V7" s="44"/>
      <c r="W7" s="44"/>
      <c r="X7" s="44"/>
      <c r="Y7" s="44"/>
      <c r="Z7" s="44"/>
      <c r="AA7" s="44"/>
      <c r="AB7" s="44"/>
      <c r="AD7" s="93"/>
    </row>
    <row r="8" spans="1:30" s="35" customFormat="1">
      <c r="A8" s="44"/>
      <c r="B8" s="44"/>
      <c r="C8" s="44"/>
      <c r="D8" s="44"/>
      <c r="E8" s="44"/>
      <c r="F8" s="44"/>
      <c r="G8" s="44"/>
      <c r="H8" s="44"/>
      <c r="I8" s="44"/>
      <c r="J8" s="44"/>
      <c r="K8" s="44"/>
      <c r="L8" s="44"/>
      <c r="M8" s="44"/>
      <c r="N8" s="52"/>
      <c r="O8" s="52"/>
      <c r="P8" s="53">
        <v>45281</v>
      </c>
      <c r="Q8" s="58">
        <v>3.27</v>
      </c>
      <c r="R8" s="44"/>
      <c r="S8" s="53">
        <v>45281</v>
      </c>
      <c r="T8" s="58">
        <f t="shared" si="0"/>
        <v>3.27</v>
      </c>
      <c r="U8" s="58">
        <f t="shared" ref="U8:U10" si="1">T8-Q8</f>
        <v>0</v>
      </c>
      <c r="V8" s="44"/>
      <c r="W8" s="44"/>
      <c r="X8" s="44"/>
      <c r="Y8" s="44"/>
      <c r="Z8" s="44"/>
      <c r="AA8" s="44"/>
      <c r="AB8" s="44"/>
    </row>
    <row r="9" spans="1:30" s="35" customFormat="1">
      <c r="A9" s="44"/>
      <c r="B9" s="44"/>
      <c r="C9" s="44"/>
      <c r="D9" s="44"/>
      <c r="E9" s="44"/>
      <c r="F9" s="44"/>
      <c r="G9" s="44"/>
      <c r="H9" s="44"/>
      <c r="I9" s="44"/>
      <c r="J9" s="44"/>
      <c r="K9" s="44"/>
      <c r="L9" s="44"/>
      <c r="M9" s="44"/>
      <c r="N9" s="52"/>
      <c r="O9" s="52"/>
      <c r="P9" s="53">
        <v>45327</v>
      </c>
      <c r="Q9" s="58">
        <v>0.81</v>
      </c>
      <c r="R9" s="44"/>
      <c r="S9" s="53">
        <v>45327</v>
      </c>
      <c r="T9" s="58">
        <f t="shared" si="0"/>
        <v>1.65</v>
      </c>
      <c r="U9" s="58">
        <f t="shared" si="1"/>
        <v>0.84</v>
      </c>
      <c r="V9" s="44"/>
      <c r="W9" s="44"/>
      <c r="X9" s="44"/>
      <c r="Y9" s="44"/>
      <c r="Z9" s="44"/>
      <c r="AA9" s="44"/>
      <c r="AB9" s="44"/>
    </row>
    <row r="10" spans="1:30" s="35" customFormat="1">
      <c r="A10" s="44"/>
      <c r="B10" s="44"/>
      <c r="C10" s="44"/>
      <c r="D10" s="44"/>
      <c r="E10" s="44"/>
      <c r="F10" s="44"/>
      <c r="G10" s="44"/>
      <c r="H10" s="44"/>
      <c r="I10" s="44"/>
      <c r="J10" s="44"/>
      <c r="K10" s="44"/>
      <c r="L10" s="44"/>
      <c r="M10" s="44"/>
      <c r="N10" s="52"/>
      <c r="O10" s="52"/>
      <c r="P10" s="53">
        <v>45372</v>
      </c>
      <c r="Q10" s="58">
        <v>2.95</v>
      </c>
      <c r="R10" s="44"/>
      <c r="S10" s="53">
        <v>45372</v>
      </c>
      <c r="T10" s="58">
        <f t="shared" si="0"/>
        <v>1.62</v>
      </c>
      <c r="U10" s="58">
        <f t="shared" si="1"/>
        <v>-1.33</v>
      </c>
      <c r="V10" s="44"/>
      <c r="W10" s="44"/>
      <c r="X10" s="44"/>
      <c r="Y10" s="44"/>
      <c r="Z10" s="44"/>
      <c r="AA10" s="44"/>
      <c r="AB10" s="44"/>
    </row>
    <row r="11" spans="1:30" s="34" customFormat="1" ht="126">
      <c r="A11" s="43">
        <v>2</v>
      </c>
      <c r="B11" s="43" t="str">
        <f t="shared" ref="B11:G11" si="2">B4</f>
        <v>成都康乐汇食品有限公司</v>
      </c>
      <c r="C11" s="43" t="str">
        <f t="shared" si="2"/>
        <v>崇州市行政审批局　</v>
      </c>
      <c r="D11" s="43" t="str">
        <f t="shared" si="2"/>
        <v>9151018458757036XW</v>
      </c>
      <c r="E11" s="43" t="str">
        <f t="shared" si="2"/>
        <v>有限责任公司</v>
      </c>
      <c r="F11" s="43" t="str">
        <f t="shared" si="2"/>
        <v>崇州税务局</v>
      </c>
      <c r="G11" s="43" t="str">
        <f t="shared" si="2"/>
        <v>收款账号：511610018010210321008
开户行：交通银行成都双流棠湖支行</v>
      </c>
      <c r="H11" s="43" t="s">
        <v>958</v>
      </c>
      <c r="I11" s="43" t="s">
        <v>1230</v>
      </c>
      <c r="J11" s="43">
        <v>24</v>
      </c>
      <c r="K11" s="43">
        <v>300</v>
      </c>
      <c r="L11" s="43" t="s">
        <v>1233</v>
      </c>
      <c r="M11" s="43" t="s">
        <v>1234</v>
      </c>
      <c r="N11" s="50">
        <v>44916</v>
      </c>
      <c r="O11" s="50">
        <v>45064</v>
      </c>
      <c r="P11" s="43">
        <f>P13-N11</f>
        <v>148</v>
      </c>
      <c r="Q11" s="55">
        <f>SUM(Q12:Q13)</f>
        <v>4.57</v>
      </c>
      <c r="R11" s="66">
        <v>1.1299999999999999</v>
      </c>
      <c r="S11" s="43"/>
      <c r="T11" s="55">
        <f>SUM(T12:T13)</f>
        <v>4.57</v>
      </c>
      <c r="U11" s="56">
        <v>3.6999999999999998E-2</v>
      </c>
      <c r="V11" s="50"/>
      <c r="W11" s="43" t="s">
        <v>1235</v>
      </c>
      <c r="X11" s="57">
        <v>0.01</v>
      </c>
      <c r="Y11" s="43">
        <f>ROUNDDOWN(IF((O11-N11+1)*K11*X11/365&gt;R11,R11,(O11-N11+1)*K11*X11/365),2)</f>
        <v>1.1299999999999999</v>
      </c>
      <c r="Z11" s="55">
        <f>R11-Y11</f>
        <v>0</v>
      </c>
      <c r="AA11" s="43"/>
      <c r="AB11" s="43" t="s">
        <v>61</v>
      </c>
    </row>
    <row r="12" spans="1:30" s="35" customFormat="1">
      <c r="A12" s="44"/>
      <c r="B12" s="44"/>
      <c r="C12" s="44"/>
      <c r="D12" s="44"/>
      <c r="E12" s="44"/>
      <c r="F12" s="44"/>
      <c r="G12" s="44"/>
      <c r="H12" s="44"/>
      <c r="I12" s="44"/>
      <c r="J12" s="44"/>
      <c r="K12" s="44"/>
      <c r="L12" s="44"/>
      <c r="M12" s="44"/>
      <c r="N12" s="52"/>
      <c r="O12" s="52"/>
      <c r="P12" s="53">
        <v>45006</v>
      </c>
      <c r="Q12" s="58">
        <v>2.78</v>
      </c>
      <c r="R12" s="44"/>
      <c r="S12" s="53">
        <v>45006</v>
      </c>
      <c r="T12" s="58">
        <f>(S12-N11)/360*$U$11*$K$11</f>
        <v>2.78</v>
      </c>
      <c r="U12" s="58">
        <f>T12-Q12</f>
        <v>0</v>
      </c>
      <c r="V12" s="52"/>
      <c r="W12" s="44"/>
      <c r="X12" s="44"/>
      <c r="Y12" s="44"/>
      <c r="Z12" s="44"/>
      <c r="AA12" s="44"/>
      <c r="AB12" s="44"/>
    </row>
    <row r="13" spans="1:30" s="35" customFormat="1">
      <c r="A13" s="44"/>
      <c r="B13" s="44"/>
      <c r="C13" s="44"/>
      <c r="D13" s="44"/>
      <c r="E13" s="44"/>
      <c r="F13" s="44"/>
      <c r="G13" s="44"/>
      <c r="H13" s="44"/>
      <c r="I13" s="44"/>
      <c r="J13" s="44"/>
      <c r="K13" s="44"/>
      <c r="L13" s="44"/>
      <c r="M13" s="44"/>
      <c r="N13" s="52"/>
      <c r="O13" s="52"/>
      <c r="P13" s="53">
        <v>45064</v>
      </c>
      <c r="Q13" s="58">
        <v>1.79</v>
      </c>
      <c r="R13" s="44"/>
      <c r="S13" s="53">
        <v>45064</v>
      </c>
      <c r="T13" s="58">
        <f>(S13-S12)/360*$U$11*$K$11</f>
        <v>1.79</v>
      </c>
      <c r="U13" s="58">
        <f>T13-Q13</f>
        <v>0</v>
      </c>
      <c r="V13" s="44"/>
      <c r="W13" s="44"/>
      <c r="X13" s="44"/>
      <c r="Y13" s="44"/>
      <c r="Z13" s="44"/>
      <c r="AA13" s="44"/>
      <c r="AB13" s="44"/>
    </row>
    <row r="14" spans="1:30" s="34" customFormat="1" ht="126">
      <c r="A14" s="43">
        <v>3</v>
      </c>
      <c r="B14" s="43" t="str">
        <f t="shared" ref="B14:G14" si="3">B11</f>
        <v>成都康乐汇食品有限公司</v>
      </c>
      <c r="C14" s="43" t="str">
        <f t="shared" si="3"/>
        <v>崇州市行政审批局　</v>
      </c>
      <c r="D14" s="43" t="str">
        <f t="shared" si="3"/>
        <v>9151018458757036XW</v>
      </c>
      <c r="E14" s="43" t="str">
        <f t="shared" si="3"/>
        <v>有限责任公司</v>
      </c>
      <c r="F14" s="43" t="str">
        <f t="shared" si="3"/>
        <v>崇州税务局</v>
      </c>
      <c r="G14" s="43" t="str">
        <f t="shared" si="3"/>
        <v>收款账号：511610018010210321008
开户行：交通银行成都双流棠湖支行</v>
      </c>
      <c r="H14" s="43" t="s">
        <v>958</v>
      </c>
      <c r="I14" s="43" t="s">
        <v>1236</v>
      </c>
      <c r="J14" s="43">
        <v>10</v>
      </c>
      <c r="K14" s="43">
        <v>100</v>
      </c>
      <c r="L14" s="43" t="s">
        <v>1237</v>
      </c>
      <c r="M14" s="43" t="s">
        <v>1238</v>
      </c>
      <c r="N14" s="50">
        <v>44904</v>
      </c>
      <c r="O14" s="50">
        <v>45185</v>
      </c>
      <c r="P14" s="43">
        <f>P23-N14</f>
        <v>281</v>
      </c>
      <c r="Q14" s="55">
        <f>SUM(Q15:Q23)</f>
        <v>2.96</v>
      </c>
      <c r="R14" s="66">
        <v>0.71</v>
      </c>
      <c r="S14" s="43"/>
      <c r="T14" s="66">
        <f>SUM(T15:T23)</f>
        <v>3.09</v>
      </c>
      <c r="U14" s="56">
        <v>3.95E-2</v>
      </c>
      <c r="V14" s="50"/>
      <c r="W14" s="43" t="s">
        <v>42</v>
      </c>
      <c r="X14" s="57">
        <v>0.01</v>
      </c>
      <c r="Y14" s="66">
        <f>ROUNDDOWN(IF((O14-N14+1)*K14*X14/365&gt;R14,R14,(O14-N14+1)*K14*X14/365),2)</f>
        <v>0.71</v>
      </c>
      <c r="Z14" s="55">
        <f>R14-Y14</f>
        <v>0</v>
      </c>
      <c r="AA14" s="43"/>
      <c r="AB14" s="43" t="s">
        <v>61</v>
      </c>
    </row>
    <row r="15" spans="1:30" s="35" customFormat="1" ht="28">
      <c r="A15" s="44"/>
      <c r="B15" s="44"/>
      <c r="C15" s="44"/>
      <c r="D15" s="44"/>
      <c r="E15" s="44"/>
      <c r="F15" s="44"/>
      <c r="G15" s="44"/>
      <c r="H15" s="44"/>
      <c r="I15" s="44"/>
      <c r="J15" s="44"/>
      <c r="K15" s="44"/>
      <c r="L15" s="44"/>
      <c r="M15" s="63" t="s">
        <v>1239</v>
      </c>
      <c r="N15" s="52"/>
      <c r="O15" s="52"/>
      <c r="P15" s="53">
        <v>44947</v>
      </c>
      <c r="Q15" s="58">
        <v>0.34</v>
      </c>
      <c r="R15" s="44"/>
      <c r="S15" s="53">
        <v>44947</v>
      </c>
      <c r="T15" s="58">
        <f>(S15-N14)/360*$U$14*$K$14</f>
        <v>0.47</v>
      </c>
      <c r="U15" s="58">
        <f>T15-Q15</f>
        <v>0.13</v>
      </c>
      <c r="V15" s="52"/>
      <c r="W15" s="44"/>
      <c r="X15" s="44"/>
      <c r="Y15" s="44"/>
      <c r="Z15" s="44"/>
      <c r="AA15" s="44"/>
      <c r="AB15" s="44"/>
    </row>
    <row r="16" spans="1:30" s="35" customFormat="1">
      <c r="A16" s="44"/>
      <c r="B16" s="44"/>
      <c r="C16" s="44"/>
      <c r="D16" s="44"/>
      <c r="E16" s="44"/>
      <c r="F16" s="44"/>
      <c r="G16" s="44"/>
      <c r="H16" s="44"/>
      <c r="I16" s="44"/>
      <c r="J16" s="44"/>
      <c r="K16" s="44"/>
      <c r="L16" s="44"/>
      <c r="M16" s="44"/>
      <c r="N16" s="52"/>
      <c r="O16" s="52"/>
      <c r="P16" s="53">
        <v>44978</v>
      </c>
      <c r="Q16" s="58">
        <v>0.34</v>
      </c>
      <c r="R16" s="44"/>
      <c r="S16" s="53">
        <v>44978</v>
      </c>
      <c r="T16" s="58">
        <f>(S16-S15)/360*$U$14*$K$14</f>
        <v>0.34</v>
      </c>
      <c r="U16" s="58">
        <f>T16-Q16</f>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45006</v>
      </c>
      <c r="Q17" s="58">
        <v>0.31</v>
      </c>
      <c r="R17" s="44"/>
      <c r="S17" s="53">
        <v>45006</v>
      </c>
      <c r="T17" s="58">
        <f t="shared" ref="T17:T23" si="4">(S17-S16)/360*$U$14*$K$14</f>
        <v>0.31</v>
      </c>
      <c r="U17" s="58">
        <f t="shared" ref="U17:U23" si="5">T17-Q17</f>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v>45037</v>
      </c>
      <c r="Q18" s="58">
        <v>0.34</v>
      </c>
      <c r="R18" s="44"/>
      <c r="S18" s="53">
        <v>45037</v>
      </c>
      <c r="T18" s="58">
        <f t="shared" si="4"/>
        <v>0.34</v>
      </c>
      <c r="U18" s="58">
        <f t="shared" si="5"/>
        <v>0</v>
      </c>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v>45067</v>
      </c>
      <c r="Q19" s="58">
        <v>0.33</v>
      </c>
      <c r="R19" s="44"/>
      <c r="S19" s="53">
        <v>45067</v>
      </c>
      <c r="T19" s="58">
        <f t="shared" si="4"/>
        <v>0.33</v>
      </c>
      <c r="U19" s="58">
        <f t="shared" si="5"/>
        <v>0</v>
      </c>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v>45098</v>
      </c>
      <c r="Q20" s="58">
        <v>0.34</v>
      </c>
      <c r="R20" s="44"/>
      <c r="S20" s="53">
        <v>45098</v>
      </c>
      <c r="T20" s="58">
        <f t="shared" si="4"/>
        <v>0.34</v>
      </c>
      <c r="U20" s="58">
        <f t="shared" si="5"/>
        <v>0</v>
      </c>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v>45128</v>
      </c>
      <c r="Q21" s="58">
        <v>0.33</v>
      </c>
      <c r="R21" s="44"/>
      <c r="S21" s="53">
        <v>45128</v>
      </c>
      <c r="T21" s="58">
        <f t="shared" si="4"/>
        <v>0.33</v>
      </c>
      <c r="U21" s="58">
        <f t="shared" si="5"/>
        <v>0</v>
      </c>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v>45159</v>
      </c>
      <c r="Q22" s="58">
        <v>0.34</v>
      </c>
      <c r="R22" s="44"/>
      <c r="S22" s="53">
        <v>45159</v>
      </c>
      <c r="T22" s="58">
        <f t="shared" si="4"/>
        <v>0.34</v>
      </c>
      <c r="U22" s="58">
        <f t="shared" si="5"/>
        <v>0</v>
      </c>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v>45185</v>
      </c>
      <c r="Q23" s="58">
        <v>0.28999999999999998</v>
      </c>
      <c r="R23" s="44"/>
      <c r="S23" s="53">
        <v>45185</v>
      </c>
      <c r="T23" s="58">
        <f t="shared" si="4"/>
        <v>0.28999999999999998</v>
      </c>
      <c r="U23" s="58">
        <f t="shared" si="5"/>
        <v>0</v>
      </c>
      <c r="V23" s="44"/>
      <c r="W23" s="44"/>
      <c r="X23" s="44"/>
      <c r="Y23" s="44"/>
      <c r="Z23" s="44"/>
      <c r="AA23" s="44"/>
      <c r="AB23" s="44"/>
    </row>
    <row r="24" spans="1:28" s="34" customFormat="1" ht="126">
      <c r="A24" s="43">
        <v>4</v>
      </c>
      <c r="B24" s="43" t="str">
        <f t="shared" ref="B24:G24" si="6">B14</f>
        <v>成都康乐汇食品有限公司</v>
      </c>
      <c r="C24" s="43" t="str">
        <f t="shared" si="6"/>
        <v>崇州市行政审批局　</v>
      </c>
      <c r="D24" s="43" t="str">
        <f t="shared" si="6"/>
        <v>9151018458757036XW</v>
      </c>
      <c r="E24" s="43" t="str">
        <f t="shared" si="6"/>
        <v>有限责任公司</v>
      </c>
      <c r="F24" s="43" t="str">
        <f t="shared" si="6"/>
        <v>崇州税务局</v>
      </c>
      <c r="G24" s="43" t="str">
        <f t="shared" si="6"/>
        <v>收款账号：511610018010210321008
开户行：交通银行成都双流棠湖支行</v>
      </c>
      <c r="H24" s="43" t="s">
        <v>958</v>
      </c>
      <c r="I24" s="43" t="s">
        <v>1236</v>
      </c>
      <c r="J24" s="43">
        <v>10</v>
      </c>
      <c r="K24" s="43">
        <v>200</v>
      </c>
      <c r="L24" s="43" t="s">
        <v>1240</v>
      </c>
      <c r="M24" s="43" t="s">
        <v>1241</v>
      </c>
      <c r="N24" s="50">
        <v>44904</v>
      </c>
      <c r="O24" s="50">
        <v>45186</v>
      </c>
      <c r="P24" s="43">
        <f>P33-N24</f>
        <v>282</v>
      </c>
      <c r="Q24" s="55">
        <f>SUM(Q25:Q33)</f>
        <v>5.92</v>
      </c>
      <c r="R24" s="43">
        <v>1.42</v>
      </c>
      <c r="S24" s="43"/>
      <c r="T24" s="66">
        <f>SUM(T25:T33)</f>
        <v>6.18</v>
      </c>
      <c r="U24" s="56">
        <v>3.95E-2</v>
      </c>
      <c r="V24" s="50"/>
      <c r="W24" s="43" t="s">
        <v>42</v>
      </c>
      <c r="X24" s="57">
        <v>0.01</v>
      </c>
      <c r="Y24" s="66">
        <f>ROUNDDOWN(IF((O24-N24+1)*K24*X24/365&gt;R24,R24,(O24-N24+1)*K24*X24/365),2)</f>
        <v>1.42</v>
      </c>
      <c r="Z24" s="55">
        <f>R24-Y24</f>
        <v>0</v>
      </c>
      <c r="AA24" s="43"/>
      <c r="AB24" s="43" t="s">
        <v>61</v>
      </c>
    </row>
    <row r="25" spans="1:28" s="35" customFormat="1" ht="28">
      <c r="A25" s="44"/>
      <c r="B25" s="44"/>
      <c r="C25" s="44"/>
      <c r="D25" s="44"/>
      <c r="E25" s="44"/>
      <c r="F25" s="44"/>
      <c r="G25" s="44"/>
      <c r="H25" s="44"/>
      <c r="I25" s="44"/>
      <c r="J25" s="44"/>
      <c r="K25" s="44"/>
      <c r="L25" s="44"/>
      <c r="M25" s="63" t="s">
        <v>1239</v>
      </c>
      <c r="N25" s="52"/>
      <c r="O25" s="52"/>
      <c r="P25" s="53">
        <v>44947</v>
      </c>
      <c r="Q25" s="58">
        <v>0.68</v>
      </c>
      <c r="R25" s="44"/>
      <c r="S25" s="53">
        <v>44947</v>
      </c>
      <c r="T25" s="58">
        <f>(S25-N24)/360*$U$24*$K$24</f>
        <v>0.94</v>
      </c>
      <c r="U25" s="58">
        <f>T25-Q25</f>
        <v>0.26</v>
      </c>
      <c r="V25" s="52"/>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v>44978</v>
      </c>
      <c r="Q26" s="58">
        <v>0.68</v>
      </c>
      <c r="R26" s="44"/>
      <c r="S26" s="53">
        <v>44978</v>
      </c>
      <c r="T26" s="58">
        <f>(S26-S25)/360*$U$24*$K$24</f>
        <v>0.68</v>
      </c>
      <c r="U26" s="58">
        <f>T26-Q26</f>
        <v>0</v>
      </c>
      <c r="V26" s="44"/>
      <c r="W26" s="44"/>
      <c r="X26" s="44"/>
      <c r="Y26" s="44"/>
      <c r="Z26" s="44"/>
      <c r="AA26" s="44"/>
      <c r="AB26" s="44"/>
    </row>
    <row r="27" spans="1:28" s="35" customFormat="1">
      <c r="A27" s="44"/>
      <c r="B27" s="44"/>
      <c r="C27" s="44"/>
      <c r="D27" s="44"/>
      <c r="E27" s="44"/>
      <c r="F27" s="44"/>
      <c r="G27" s="44"/>
      <c r="H27" s="44"/>
      <c r="I27" s="44"/>
      <c r="J27" s="44"/>
      <c r="K27" s="44"/>
      <c r="L27" s="44"/>
      <c r="M27" s="44"/>
      <c r="N27" s="52"/>
      <c r="O27" s="52"/>
      <c r="P27" s="53">
        <v>45006</v>
      </c>
      <c r="Q27" s="58">
        <v>0.61</v>
      </c>
      <c r="R27" s="44"/>
      <c r="S27" s="53">
        <v>45006</v>
      </c>
      <c r="T27" s="58">
        <f t="shared" ref="T27:T33" si="7">(S27-S26)/360*$U$24*$K$24</f>
        <v>0.61</v>
      </c>
      <c r="U27" s="58">
        <f t="shared" ref="U27:U33" si="8">T27-Q27</f>
        <v>0</v>
      </c>
      <c r="V27" s="44"/>
      <c r="W27" s="44"/>
      <c r="X27" s="44"/>
      <c r="Y27" s="44"/>
      <c r="Z27" s="44"/>
      <c r="AA27" s="44"/>
      <c r="AB27" s="44"/>
    </row>
    <row r="28" spans="1:28" s="35" customFormat="1">
      <c r="A28" s="44"/>
      <c r="B28" s="44"/>
      <c r="C28" s="44"/>
      <c r="D28" s="44"/>
      <c r="E28" s="44"/>
      <c r="F28" s="44"/>
      <c r="G28" s="44"/>
      <c r="H28" s="44"/>
      <c r="I28" s="44"/>
      <c r="J28" s="44"/>
      <c r="K28" s="44"/>
      <c r="L28" s="44"/>
      <c r="M28" s="44"/>
      <c r="N28" s="52"/>
      <c r="O28" s="52"/>
      <c r="P28" s="53">
        <v>45037</v>
      </c>
      <c r="Q28" s="58">
        <v>0.68</v>
      </c>
      <c r="R28" s="44"/>
      <c r="S28" s="53">
        <v>45037</v>
      </c>
      <c r="T28" s="58">
        <f t="shared" si="7"/>
        <v>0.68</v>
      </c>
      <c r="U28" s="58">
        <f t="shared" si="8"/>
        <v>0</v>
      </c>
      <c r="V28" s="44"/>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45067</v>
      </c>
      <c r="Q29" s="58">
        <v>0.66</v>
      </c>
      <c r="R29" s="44"/>
      <c r="S29" s="53">
        <v>45067</v>
      </c>
      <c r="T29" s="58">
        <f t="shared" si="7"/>
        <v>0.66</v>
      </c>
      <c r="U29" s="58">
        <f t="shared" si="8"/>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45098</v>
      </c>
      <c r="Q30" s="58">
        <v>0.68</v>
      </c>
      <c r="R30" s="44"/>
      <c r="S30" s="53">
        <v>45098</v>
      </c>
      <c r="T30" s="58">
        <f t="shared" si="7"/>
        <v>0.68</v>
      </c>
      <c r="U30" s="58">
        <f t="shared" si="8"/>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45128</v>
      </c>
      <c r="Q31" s="58">
        <v>0.66</v>
      </c>
      <c r="R31" s="44"/>
      <c r="S31" s="53">
        <v>45128</v>
      </c>
      <c r="T31" s="58">
        <f t="shared" si="7"/>
        <v>0.66</v>
      </c>
      <c r="U31" s="58">
        <f t="shared" si="8"/>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45159</v>
      </c>
      <c r="Q32" s="58">
        <v>0.68</v>
      </c>
      <c r="R32" s="44"/>
      <c r="S32" s="53">
        <v>45159</v>
      </c>
      <c r="T32" s="58">
        <f t="shared" si="7"/>
        <v>0.68</v>
      </c>
      <c r="U32" s="58">
        <f t="shared" si="8"/>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45186</v>
      </c>
      <c r="Q33" s="58">
        <v>0.59</v>
      </c>
      <c r="R33" s="44"/>
      <c r="S33" s="53">
        <v>45186</v>
      </c>
      <c r="T33" s="58">
        <f t="shared" si="7"/>
        <v>0.59</v>
      </c>
      <c r="U33" s="58">
        <f t="shared" si="8"/>
        <v>0</v>
      </c>
      <c r="V33" s="44"/>
      <c r="W33" s="44"/>
      <c r="X33" s="44"/>
      <c r="Y33" s="44"/>
      <c r="Z33" s="44"/>
      <c r="AA33" s="44"/>
      <c r="AB33" s="44"/>
    </row>
    <row r="34" spans="1:28" s="34" customFormat="1" ht="126">
      <c r="A34" s="43">
        <v>5</v>
      </c>
      <c r="B34" s="43" t="str">
        <f>B24</f>
        <v>成都康乐汇食品有限公司</v>
      </c>
      <c r="C34" s="43" t="str">
        <f t="shared" ref="C34:G34" si="9">C24</f>
        <v>崇州市行政审批局　</v>
      </c>
      <c r="D34" s="43" t="str">
        <f t="shared" si="9"/>
        <v>9151018458757036XW</v>
      </c>
      <c r="E34" s="43" t="str">
        <f t="shared" si="9"/>
        <v>有限责任公司</v>
      </c>
      <c r="F34" s="43" t="str">
        <f t="shared" si="9"/>
        <v>崇州税务局</v>
      </c>
      <c r="G34" s="43" t="str">
        <f t="shared" si="9"/>
        <v>收款账号：511610018010210321008
开户行：交通银行成都双流棠湖支行</v>
      </c>
      <c r="H34" s="43" t="s">
        <v>958</v>
      </c>
      <c r="I34" s="43" t="s">
        <v>1236</v>
      </c>
      <c r="J34" s="43">
        <v>11</v>
      </c>
      <c r="K34" s="43">
        <v>200</v>
      </c>
      <c r="L34" s="43" t="s">
        <v>1242</v>
      </c>
      <c r="M34" s="43" t="s">
        <v>1243</v>
      </c>
      <c r="N34" s="50">
        <v>44904</v>
      </c>
      <c r="O34" s="50">
        <v>45190</v>
      </c>
      <c r="P34" s="43">
        <f>P43-N34</f>
        <v>286</v>
      </c>
      <c r="Q34" s="55">
        <f>SUM(Q35:Q55)</f>
        <v>6.01</v>
      </c>
      <c r="R34" s="43">
        <v>1.45</v>
      </c>
      <c r="S34" s="43"/>
      <c r="T34" s="66">
        <f>SUM(T35:T55)</f>
        <v>6.27</v>
      </c>
      <c r="U34" s="56">
        <v>3.95E-2</v>
      </c>
      <c r="V34" s="50"/>
      <c r="W34" s="43" t="s">
        <v>1244</v>
      </c>
      <c r="X34" s="57">
        <v>0.01</v>
      </c>
      <c r="Y34" s="66">
        <f>ROUNDDOWN(IF((O34-N34+1)*K34*X34/365&gt;R34,R34,(O34-N34+1)*K34*X34/365),2)</f>
        <v>1.45</v>
      </c>
      <c r="Z34" s="55">
        <f>R34-Y34</f>
        <v>0</v>
      </c>
      <c r="AA34" s="43"/>
      <c r="AB34" s="43" t="s">
        <v>61</v>
      </c>
    </row>
    <row r="35" spans="1:28" s="35" customFormat="1" ht="28">
      <c r="A35" s="44"/>
      <c r="B35" s="44"/>
      <c r="C35" s="44"/>
      <c r="D35" s="44"/>
      <c r="E35" s="44"/>
      <c r="F35" s="44"/>
      <c r="G35" s="44"/>
      <c r="H35" s="44"/>
      <c r="I35" s="44"/>
      <c r="J35" s="44"/>
      <c r="K35" s="44"/>
      <c r="L35" s="44"/>
      <c r="M35" s="63" t="s">
        <v>1239</v>
      </c>
      <c r="N35" s="52"/>
      <c r="O35" s="52"/>
      <c r="P35" s="53">
        <v>44947</v>
      </c>
      <c r="Q35" s="58">
        <v>0.68</v>
      </c>
      <c r="R35" s="44"/>
      <c r="S35" s="53">
        <v>44947</v>
      </c>
      <c r="T35" s="58">
        <f>(S35-N34)/360*$U$34*$K$34</f>
        <v>0.94</v>
      </c>
      <c r="U35" s="58">
        <f>T35-Q35</f>
        <v>0.26</v>
      </c>
      <c r="V35" s="52"/>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44978</v>
      </c>
      <c r="Q36" s="58">
        <v>0.68</v>
      </c>
      <c r="R36" s="44"/>
      <c r="S36" s="53">
        <v>44978</v>
      </c>
      <c r="T36" s="58">
        <f>(S36-S35)/360*$U$34*$K$34</f>
        <v>0.68</v>
      </c>
      <c r="U36" s="58">
        <f>T36-Q36</f>
        <v>0</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45006</v>
      </c>
      <c r="Q37" s="58">
        <v>0.61</v>
      </c>
      <c r="R37" s="44"/>
      <c r="S37" s="53">
        <v>45006</v>
      </c>
      <c r="T37" s="58">
        <f t="shared" ref="T37:T43" si="10">(S37-S36)/360*$U$34*$K$34</f>
        <v>0.61</v>
      </c>
      <c r="U37" s="58">
        <f t="shared" ref="U37:U43" si="11">T37-Q37</f>
        <v>0</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45037</v>
      </c>
      <c r="Q38" s="58">
        <v>0.68</v>
      </c>
      <c r="R38" s="44"/>
      <c r="S38" s="53">
        <v>45037</v>
      </c>
      <c r="T38" s="58">
        <f t="shared" si="10"/>
        <v>0.68</v>
      </c>
      <c r="U38" s="58">
        <f t="shared" si="11"/>
        <v>0</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v>45067</v>
      </c>
      <c r="Q39" s="58">
        <v>0.66</v>
      </c>
      <c r="R39" s="44"/>
      <c r="S39" s="53">
        <v>45067</v>
      </c>
      <c r="T39" s="58">
        <f t="shared" si="10"/>
        <v>0.66</v>
      </c>
      <c r="U39" s="58">
        <f t="shared" si="11"/>
        <v>0</v>
      </c>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v>45098</v>
      </c>
      <c r="Q40" s="58">
        <v>0.68</v>
      </c>
      <c r="R40" s="44"/>
      <c r="S40" s="53">
        <v>45098</v>
      </c>
      <c r="T40" s="58">
        <f t="shared" si="10"/>
        <v>0.68</v>
      </c>
      <c r="U40" s="58">
        <f t="shared" si="11"/>
        <v>0</v>
      </c>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v>45128</v>
      </c>
      <c r="Q41" s="58">
        <v>0.66</v>
      </c>
      <c r="R41" s="44"/>
      <c r="S41" s="53">
        <v>45128</v>
      </c>
      <c r="T41" s="58">
        <f t="shared" si="10"/>
        <v>0.66</v>
      </c>
      <c r="U41" s="58">
        <f t="shared" si="11"/>
        <v>0</v>
      </c>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v>45159</v>
      </c>
      <c r="Q42" s="58">
        <v>0.68</v>
      </c>
      <c r="R42" s="44"/>
      <c r="S42" s="53">
        <v>45159</v>
      </c>
      <c r="T42" s="58">
        <f t="shared" si="10"/>
        <v>0.68</v>
      </c>
      <c r="U42" s="58">
        <f t="shared" si="11"/>
        <v>0</v>
      </c>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v>45190</v>
      </c>
      <c r="Q43" s="58">
        <v>0.68</v>
      </c>
      <c r="R43" s="44"/>
      <c r="S43" s="53">
        <v>45190</v>
      </c>
      <c r="T43" s="58">
        <f t="shared" si="10"/>
        <v>0.68</v>
      </c>
      <c r="U43" s="58">
        <f t="shared" si="11"/>
        <v>0</v>
      </c>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5" customFormat="1">
      <c r="A49" s="44"/>
      <c r="B49" s="44"/>
      <c r="C49" s="44"/>
      <c r="D49" s="44"/>
      <c r="E49" s="44"/>
      <c r="F49" s="44"/>
      <c r="G49" s="44"/>
      <c r="H49" s="44"/>
      <c r="I49" s="44"/>
      <c r="J49" s="44"/>
      <c r="K49" s="44"/>
      <c r="L49" s="44"/>
      <c r="M49" s="44"/>
      <c r="N49" s="52"/>
      <c r="O49" s="52"/>
      <c r="P49" s="53"/>
      <c r="Q49" s="58"/>
      <c r="R49" s="44"/>
      <c r="S49" s="53"/>
      <c r="T49" s="58"/>
      <c r="U49" s="58"/>
      <c r="V49" s="44"/>
      <c r="W49" s="44"/>
      <c r="X49" s="44"/>
      <c r="Y49" s="44"/>
      <c r="Z49" s="44"/>
      <c r="AA49" s="44"/>
      <c r="AB49" s="44"/>
    </row>
    <row r="50" spans="1:28" s="35" customFormat="1">
      <c r="A50" s="44"/>
      <c r="B50" s="44"/>
      <c r="C50" s="44"/>
      <c r="D50" s="44"/>
      <c r="E50" s="44"/>
      <c r="F50" s="44"/>
      <c r="G50" s="44"/>
      <c r="H50" s="44"/>
      <c r="I50" s="44"/>
      <c r="J50" s="44"/>
      <c r="K50" s="44"/>
      <c r="L50" s="44"/>
      <c r="M50" s="44"/>
      <c r="N50" s="52"/>
      <c r="O50" s="52"/>
      <c r="P50" s="53"/>
      <c r="Q50" s="58"/>
      <c r="R50" s="44"/>
      <c r="S50" s="53"/>
      <c r="T50" s="58"/>
      <c r="U50" s="58"/>
      <c r="V50" s="44"/>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4" customFormat="1">
      <c r="A56" s="43" t="s">
        <v>48</v>
      </c>
      <c r="B56" s="43"/>
      <c r="C56" s="43"/>
      <c r="D56" s="43"/>
      <c r="E56" s="43"/>
      <c r="F56" s="43"/>
      <c r="G56" s="43"/>
      <c r="H56" s="43"/>
      <c r="I56" s="43"/>
      <c r="J56" s="43"/>
      <c r="K56" s="43">
        <f>K34+K24+K14+K11++K4</f>
        <v>1150</v>
      </c>
      <c r="L56" s="43"/>
      <c r="M56" s="43"/>
      <c r="N56" s="50"/>
      <c r="O56" s="50"/>
      <c r="P56" s="43"/>
      <c r="Q56" s="43"/>
      <c r="R56" s="43"/>
      <c r="S56" s="43"/>
      <c r="T56" s="43"/>
      <c r="U56" s="43"/>
      <c r="V56" s="43"/>
      <c r="W56" s="43"/>
      <c r="X56" s="43"/>
      <c r="Y56" s="55">
        <f>Y34+Y24+Y14+Y11++Y4</f>
        <v>9.44</v>
      </c>
      <c r="Z56" s="43"/>
      <c r="AA56" s="43"/>
      <c r="AB56" s="43"/>
    </row>
    <row r="57" spans="1:28">
      <c r="I57" s="36" t="s">
        <v>49</v>
      </c>
      <c r="K57" s="36">
        <f>IF(K56&gt;3000,K58,K56)</f>
        <v>1150</v>
      </c>
    </row>
    <row r="58" spans="1:28" hidden="1">
      <c r="K58" s="36">
        <f>IF(K57&gt;3000,K59,K57)</f>
        <v>1150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崇州君健塑胶有限公司审计明细表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686</v>
      </c>
      <c r="C4" s="43" t="s">
        <v>1245</v>
      </c>
      <c r="D4" s="43" t="s">
        <v>1246</v>
      </c>
      <c r="E4" s="43" t="s">
        <v>34</v>
      </c>
      <c r="F4" s="43" t="s">
        <v>1247</v>
      </c>
      <c r="G4" s="43" t="s">
        <v>1229</v>
      </c>
      <c r="H4" s="43" t="s">
        <v>130</v>
      </c>
      <c r="I4" s="43" t="s">
        <v>167</v>
      </c>
      <c r="J4" s="43" t="s">
        <v>168</v>
      </c>
      <c r="K4" s="43">
        <v>1000</v>
      </c>
      <c r="L4" s="43" t="s">
        <v>1248</v>
      </c>
      <c r="M4" s="43" t="s">
        <v>1249</v>
      </c>
      <c r="N4" s="65">
        <v>45098</v>
      </c>
      <c r="O4" s="65">
        <v>45291</v>
      </c>
      <c r="P4" s="43">
        <f>P7-N4</f>
        <v>274</v>
      </c>
      <c r="Q4" s="55">
        <f>SUM(Q5:Q26)</f>
        <v>22.07</v>
      </c>
      <c r="R4" s="55">
        <v>7.5</v>
      </c>
      <c r="S4" s="43"/>
      <c r="T4" s="55">
        <f>SUM(T5:T26)</f>
        <v>22.07</v>
      </c>
      <c r="U4" s="56">
        <v>2.9000000000000001E-2</v>
      </c>
      <c r="V4" s="50"/>
      <c r="W4" s="43" t="s">
        <v>42</v>
      </c>
      <c r="X4" s="57">
        <v>1.4999999999999999E-2</v>
      </c>
      <c r="Y4" s="43">
        <f>ROUNDDOWN(IF((O4-N4+1)*K4*X4/365&gt;R4,R4,(O4-N4+1)*K4*X4/365),2)</f>
        <v>7.5</v>
      </c>
      <c r="Z4" s="55">
        <f>R4-Y4</f>
        <v>0</v>
      </c>
      <c r="AA4" s="55"/>
      <c r="AB4" s="43" t="s">
        <v>61</v>
      </c>
    </row>
    <row r="5" spans="1:29" s="35" customFormat="1">
      <c r="A5" s="44"/>
      <c r="B5" s="44"/>
      <c r="C5" s="44"/>
      <c r="D5" s="44"/>
      <c r="E5" s="44"/>
      <c r="F5" s="44"/>
      <c r="G5" s="44"/>
      <c r="H5" s="44"/>
      <c r="I5" s="44"/>
      <c r="J5" s="44"/>
      <c r="K5" s="44"/>
      <c r="L5" s="44"/>
      <c r="M5" s="63"/>
      <c r="N5" s="52"/>
      <c r="O5" s="65">
        <v>45463</v>
      </c>
      <c r="P5" s="53">
        <v>45190</v>
      </c>
      <c r="Q5" s="58">
        <v>7.41</v>
      </c>
      <c r="R5" s="44"/>
      <c r="S5" s="53">
        <v>45190</v>
      </c>
      <c r="T5" s="58">
        <f>(S5-N4)/360*$U$4*$K$4</f>
        <v>7.41</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45281</v>
      </c>
      <c r="Q6" s="58">
        <v>7.33</v>
      </c>
      <c r="R6" s="44"/>
      <c r="S6" s="53">
        <v>45281</v>
      </c>
      <c r="T6" s="58">
        <f>(S6-S5)/360*$U$4*$K$4</f>
        <v>7.33</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45372</v>
      </c>
      <c r="Q7" s="58">
        <v>7.33</v>
      </c>
      <c r="R7" s="44"/>
      <c r="S7" s="53">
        <v>45372</v>
      </c>
      <c r="T7" s="58">
        <f>(S7-S6)*$K$4*U4/360</f>
        <v>7.33</v>
      </c>
      <c r="U7" s="58">
        <f>T7-Q7</f>
        <v>0</v>
      </c>
      <c r="V7" s="44"/>
      <c r="W7" s="44"/>
      <c r="X7" s="44"/>
      <c r="Y7" s="44"/>
      <c r="Z7" s="44"/>
      <c r="AA7" s="44"/>
      <c r="AB7" s="44"/>
    </row>
    <row r="8" spans="1:29" s="35" customFormat="1" hidden="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hidden="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hidden="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hidden="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hidden="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崇州君健塑胶有限公司</v>
      </c>
      <c r="C27" s="43" t="str">
        <f t="shared" ref="C27:G27" si="0">C4</f>
        <v>崇州市行政审批局</v>
      </c>
      <c r="D27" s="43" t="str">
        <f t="shared" si="0"/>
        <v>’915101846771753982</v>
      </c>
      <c r="E27" s="43" t="str">
        <f t="shared" si="0"/>
        <v>私营企业</v>
      </c>
      <c r="F27" s="43" t="str">
        <f t="shared" si="0"/>
        <v>国家税务总局崇州市税务局</v>
      </c>
      <c r="G27" s="43" t="str">
        <f t="shared" si="0"/>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崇州君健塑胶有限公司</v>
      </c>
      <c r="C49" s="43" t="str">
        <f t="shared" ref="C49:G49" si="1">C27</f>
        <v>崇州市行政审批局</v>
      </c>
      <c r="D49" s="43" t="str">
        <f t="shared" si="1"/>
        <v>’915101846771753982</v>
      </c>
      <c r="E49" s="43" t="str">
        <f t="shared" si="1"/>
        <v>私营企业</v>
      </c>
      <c r="F49" s="43" t="str">
        <f t="shared" si="1"/>
        <v>国家税务总局崇州市税务局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崇州君健塑胶有限公司</v>
      </c>
      <c r="C71" s="43" t="str">
        <f t="shared" ref="C71:G71" si="2">C49</f>
        <v>崇州市行政审批局</v>
      </c>
      <c r="D71" s="43" t="str">
        <f t="shared" si="2"/>
        <v>’915101846771753982</v>
      </c>
      <c r="E71" s="43" t="str">
        <f t="shared" si="2"/>
        <v>私营企业</v>
      </c>
      <c r="F71" s="43" t="str">
        <f t="shared" si="2"/>
        <v>国家税务总局崇州市税务局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崇州君健塑胶有限公司</v>
      </c>
      <c r="C93" s="43" t="str">
        <f t="shared" ref="C93:G93" si="3">C71</f>
        <v>崇州市行政审批局</v>
      </c>
      <c r="D93" s="43" t="str">
        <f t="shared" si="3"/>
        <v>’915101846771753982</v>
      </c>
      <c r="E93" s="43" t="str">
        <f t="shared" si="3"/>
        <v>私营企业</v>
      </c>
      <c r="F93" s="43" t="str">
        <f t="shared" si="3"/>
        <v>国家税务总局崇州市税务局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7.5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AC117"/>
  <sheetViews>
    <sheetView topLeftCell="D1" workbookViewId="0">
      <pane ySplit="3" topLeftCell="A13"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成都青洋电子材料有限公司审计明细表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644</v>
      </c>
      <c r="C4" s="43" t="s">
        <v>1250</v>
      </c>
      <c r="D4" s="43" t="s">
        <v>1251</v>
      </c>
      <c r="E4" s="43" t="s">
        <v>165</v>
      </c>
      <c r="F4" s="43" t="s">
        <v>1250</v>
      </c>
      <c r="G4" s="43" t="s">
        <v>1229</v>
      </c>
      <c r="H4" s="43" t="s">
        <v>958</v>
      </c>
      <c r="I4" s="43" t="s">
        <v>241</v>
      </c>
      <c r="J4" s="43">
        <v>12</v>
      </c>
      <c r="K4" s="43">
        <v>1000</v>
      </c>
      <c r="L4" s="43" t="s">
        <v>1252</v>
      </c>
      <c r="M4" s="43" t="s">
        <v>1253</v>
      </c>
      <c r="N4" s="65">
        <v>44923</v>
      </c>
      <c r="O4" s="65">
        <v>45287</v>
      </c>
      <c r="P4" s="43">
        <f>P16-N4</f>
        <v>364</v>
      </c>
      <c r="Q4" s="55">
        <f>SUM(Q5:Q26)</f>
        <v>38.9</v>
      </c>
      <c r="R4" s="55">
        <v>15</v>
      </c>
      <c r="S4" s="43"/>
      <c r="T4" s="55">
        <f>SUM(T5:T26)</f>
        <v>38.96</v>
      </c>
      <c r="U4" s="56">
        <v>3.85E-2</v>
      </c>
      <c r="V4" s="50"/>
      <c r="W4" s="43" t="s">
        <v>42</v>
      </c>
      <c r="X4" s="57">
        <v>1.4999999999999999E-2</v>
      </c>
      <c r="Y4" s="43">
        <f>ROUNDDOWN(IF((O4-N4+1)*K4*X4/365&gt;R4,R4,(O4-N4+1)*K4*X4/365),2)</f>
        <v>15</v>
      </c>
      <c r="Z4" s="55">
        <f>R4-Y4</f>
        <v>0</v>
      </c>
      <c r="AA4" s="55"/>
      <c r="AB4" s="43" t="s">
        <v>61</v>
      </c>
    </row>
    <row r="5" spans="1:29" s="35" customFormat="1">
      <c r="A5" s="44"/>
      <c r="B5" s="44"/>
      <c r="C5" s="44"/>
      <c r="D5" s="44"/>
      <c r="E5" s="44"/>
      <c r="F5" s="44"/>
      <c r="G5" s="44"/>
      <c r="H5" s="44"/>
      <c r="I5" s="44"/>
      <c r="J5" s="44"/>
      <c r="K5" s="44"/>
      <c r="L5" s="44"/>
      <c r="M5" s="63"/>
      <c r="N5" s="52"/>
      <c r="O5" s="52"/>
      <c r="P5" s="53">
        <v>44947</v>
      </c>
      <c r="Q5" s="58">
        <v>2.56</v>
      </c>
      <c r="R5" s="44"/>
      <c r="S5" s="53">
        <v>44947</v>
      </c>
      <c r="T5" s="58">
        <f>(S5-N4)/360*$U$4*$K$4</f>
        <v>2.57</v>
      </c>
      <c r="U5" s="58">
        <f>T5-Q5</f>
        <v>0.01</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3.32</v>
      </c>
      <c r="R6" s="44"/>
      <c r="S6" s="53">
        <v>44978</v>
      </c>
      <c r="T6" s="58">
        <f>(S6-S5)/360*$U$4*$K$4</f>
        <v>3.32</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2.99</v>
      </c>
      <c r="R7" s="44"/>
      <c r="S7" s="53">
        <v>45006</v>
      </c>
      <c r="T7" s="58">
        <f t="shared" ref="T7:T16" si="0">(S7-S6)/360*$U$4*$K$4</f>
        <v>2.99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3.32</v>
      </c>
      <c r="R8" s="44"/>
      <c r="S8" s="53">
        <v>45037</v>
      </c>
      <c r="T8" s="58">
        <f t="shared" si="0"/>
        <v>3.32</v>
      </c>
      <c r="U8" s="58">
        <f t="shared" ref="U8:U16"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3.2</v>
      </c>
      <c r="R9" s="44"/>
      <c r="S9" s="53">
        <v>45067</v>
      </c>
      <c r="T9" s="58">
        <f t="shared" si="0"/>
        <v>3.21</v>
      </c>
      <c r="U9" s="58">
        <f t="shared" si="1"/>
        <v>0.01</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3.32</v>
      </c>
      <c r="R10" s="44"/>
      <c r="S10" s="53">
        <v>45098</v>
      </c>
      <c r="T10" s="58">
        <f t="shared" si="0"/>
        <v>3.32</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3.2</v>
      </c>
      <c r="R11" s="44"/>
      <c r="S11" s="53">
        <v>45128</v>
      </c>
      <c r="T11" s="58">
        <f t="shared" si="0"/>
        <v>3.21</v>
      </c>
      <c r="U11" s="58">
        <f t="shared" si="1"/>
        <v>0.01</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3.31</v>
      </c>
      <c r="R12" s="44"/>
      <c r="S12" s="53">
        <v>45159</v>
      </c>
      <c r="T12" s="58">
        <f t="shared" si="0"/>
        <v>3.32</v>
      </c>
      <c r="U12" s="58">
        <f t="shared" si="1"/>
        <v>0.01</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3.31</v>
      </c>
      <c r="R13" s="44"/>
      <c r="S13" s="53">
        <v>45190</v>
      </c>
      <c r="T13" s="58">
        <f t="shared" si="0"/>
        <v>3.32</v>
      </c>
      <c r="U13" s="58">
        <f t="shared" si="1"/>
        <v>0.01</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3.2</v>
      </c>
      <c r="R14" s="44"/>
      <c r="S14" s="53">
        <v>45220</v>
      </c>
      <c r="T14" s="58">
        <f t="shared" si="0"/>
        <v>3.21</v>
      </c>
      <c r="U14" s="58">
        <f t="shared" si="1"/>
        <v>0.01</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3.32</v>
      </c>
      <c r="R15" s="44"/>
      <c r="S15" s="53">
        <v>45251</v>
      </c>
      <c r="T15" s="58">
        <f t="shared" si="0"/>
        <v>3.32</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45287</v>
      </c>
      <c r="Q16" s="58">
        <v>3.85</v>
      </c>
      <c r="R16" s="44"/>
      <c r="S16" s="53">
        <v>45287</v>
      </c>
      <c r="T16" s="58">
        <f t="shared" si="0"/>
        <v>3.85</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成都青洋电子材料有限公司</v>
      </c>
      <c r="C27" s="43" t="str">
        <f t="shared" ref="C27:G27" si="2">C4</f>
        <v>四川省崇州市</v>
      </c>
      <c r="D27" s="43" t="str">
        <f t="shared" si="2"/>
        <v>91510184720387485E</v>
      </c>
      <c r="E27" s="43" t="str">
        <f t="shared" si="2"/>
        <v>小型企业</v>
      </c>
      <c r="F27" s="43" t="str">
        <f t="shared" si="2"/>
        <v>四川省崇州市</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成都青洋电子材料有限公司</v>
      </c>
      <c r="C49" s="43" t="str">
        <f t="shared" ref="C49:G49" si="3">C27</f>
        <v>四川省崇州市</v>
      </c>
      <c r="D49" s="43" t="str">
        <f t="shared" si="3"/>
        <v>91510184720387485E</v>
      </c>
      <c r="E49" s="43" t="str">
        <f t="shared" si="3"/>
        <v>小型企业</v>
      </c>
      <c r="F49" s="43" t="str">
        <f t="shared" si="3"/>
        <v>四川省崇州市</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成都青洋电子材料有限公司</v>
      </c>
      <c r="C71" s="43" t="str">
        <f t="shared" ref="C71:G71" si="4">C49</f>
        <v>四川省崇州市</v>
      </c>
      <c r="D71" s="43" t="str">
        <f t="shared" si="4"/>
        <v>91510184720387485E</v>
      </c>
      <c r="E71" s="43" t="str">
        <f t="shared" si="4"/>
        <v>小型企业</v>
      </c>
      <c r="F71" s="43" t="str">
        <f t="shared" si="4"/>
        <v>四川省崇州市</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成都青洋电子材料有限公司</v>
      </c>
      <c r="C93" s="43" t="str">
        <f t="shared" ref="C93:G93" si="5">C71</f>
        <v>四川省崇州市</v>
      </c>
      <c r="D93" s="43" t="str">
        <f t="shared" si="5"/>
        <v>91510184720387485E</v>
      </c>
      <c r="E93" s="43" t="str">
        <f t="shared" si="5"/>
        <v>小型企业</v>
      </c>
      <c r="F93" s="43" t="str">
        <f t="shared" si="5"/>
        <v>四川省崇州市</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2" width="9" style="36"/>
    <col min="13" max="13" width="10.08203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四川美峰环境治理有限责任公司审计明细表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712</v>
      </c>
      <c r="C4" s="43" t="s">
        <v>1254</v>
      </c>
      <c r="D4" s="43" t="s">
        <v>1255</v>
      </c>
      <c r="E4" s="43" t="s">
        <v>146</v>
      </c>
      <c r="F4" s="43" t="s">
        <v>1256</v>
      </c>
      <c r="G4" s="43" t="s">
        <v>1229</v>
      </c>
      <c r="H4" s="43" t="s">
        <v>156</v>
      </c>
      <c r="I4" s="43" t="s">
        <v>131</v>
      </c>
      <c r="J4" s="43" t="s">
        <v>73</v>
      </c>
      <c r="K4" s="43">
        <v>2000</v>
      </c>
      <c r="L4" s="43" t="s">
        <v>1257</v>
      </c>
      <c r="M4" s="49" t="s">
        <v>1258</v>
      </c>
      <c r="N4" s="65">
        <v>44883</v>
      </c>
      <c r="O4" s="65">
        <v>45238</v>
      </c>
      <c r="P4" s="43">
        <f>P9-N4</f>
        <v>355</v>
      </c>
      <c r="Q4" s="55">
        <f>SUM(Q5:Q26)</f>
        <v>91.72</v>
      </c>
      <c r="R4" s="55">
        <v>38.9</v>
      </c>
      <c r="S4" s="43"/>
      <c r="T4" s="55">
        <f>SUM(T5:T26)</f>
        <v>91.72</v>
      </c>
      <c r="U4" s="56">
        <v>4.65E-2</v>
      </c>
      <c r="V4" s="50"/>
      <c r="W4" s="43" t="s">
        <v>42</v>
      </c>
      <c r="X4" s="57">
        <v>0.02</v>
      </c>
      <c r="Y4" s="43">
        <f>ROUNDDOWN(IF((O4-N4+1)*K4*X4/365&gt;R4,R4,(O4-N4+1)*K4*X4/365),2)</f>
        <v>38.9</v>
      </c>
      <c r="Z4" s="55">
        <f>R4-Y4</f>
        <v>0</v>
      </c>
      <c r="AA4" s="55"/>
      <c r="AB4" s="43" t="s">
        <v>61</v>
      </c>
    </row>
    <row r="5" spans="1:29" s="35" customFormat="1">
      <c r="A5" s="44"/>
      <c r="B5" s="44"/>
      <c r="C5" s="44"/>
      <c r="D5" s="44"/>
      <c r="E5" s="44"/>
      <c r="F5" s="44"/>
      <c r="G5" s="44"/>
      <c r="H5" s="44"/>
      <c r="I5" s="44"/>
      <c r="J5" s="44"/>
      <c r="K5" s="44"/>
      <c r="L5" s="44"/>
      <c r="M5" s="63"/>
      <c r="N5" s="52"/>
      <c r="O5" s="52"/>
      <c r="P5" s="53">
        <v>44916</v>
      </c>
      <c r="Q5" s="58">
        <v>8.5299999999999994</v>
      </c>
      <c r="R5" s="44"/>
      <c r="S5" s="53">
        <v>44916</v>
      </c>
      <c r="T5" s="58">
        <f>(S5-N4)/360*$U$4*$K$4</f>
        <v>8.5299999999999994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45006</v>
      </c>
      <c r="Q6" s="58">
        <v>23.25</v>
      </c>
      <c r="R6" s="44"/>
      <c r="S6" s="53">
        <v>45006</v>
      </c>
      <c r="T6" s="58">
        <f>(S6-S5)/360*$U$4*$K$4</f>
        <v>23.25</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45098</v>
      </c>
      <c r="Q7" s="58">
        <v>23.77</v>
      </c>
      <c r="R7" s="44"/>
      <c r="S7" s="53">
        <v>45098</v>
      </c>
      <c r="T7" s="58">
        <f t="shared" ref="T7:T9" si="0">(S7-S6)/360*$U$4*$K$4</f>
        <v>23.77</v>
      </c>
      <c r="U7" s="58">
        <f t="shared" ref="U7:U9" si="1">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45190</v>
      </c>
      <c r="Q8" s="58">
        <v>23.77</v>
      </c>
      <c r="R8" s="44"/>
      <c r="S8" s="53">
        <v>45190</v>
      </c>
      <c r="T8" s="58">
        <f t="shared" si="0"/>
        <v>23.77</v>
      </c>
      <c r="U8" s="58">
        <f t="shared" si="1"/>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45238</v>
      </c>
      <c r="Q9" s="58">
        <v>12.4</v>
      </c>
      <c r="R9" s="44"/>
      <c r="S9" s="53">
        <v>45238</v>
      </c>
      <c r="T9" s="58">
        <f t="shared" si="0"/>
        <v>12.4</v>
      </c>
      <c r="U9" s="58">
        <f t="shared" si="1"/>
        <v>0</v>
      </c>
      <c r="V9" s="44"/>
      <c r="W9" s="44"/>
      <c r="X9" s="44"/>
      <c r="Y9" s="44"/>
      <c r="Z9" s="44"/>
      <c r="AA9" s="44"/>
      <c r="AB9" s="44"/>
    </row>
    <row r="10" spans="1:29" s="35" customFormat="1" hidden="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hidden="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hidden="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四川美峰环境治理有限责任公司</v>
      </c>
      <c r="C27" s="43" t="str">
        <f t="shared" ref="C27:G27" si="2">C4</f>
        <v>金堂县行政审批局</v>
      </c>
      <c r="D27" s="43" t="str">
        <f t="shared" si="2"/>
        <v>91510100562018229T</v>
      </c>
      <c r="E27" s="43" t="str">
        <f t="shared" si="2"/>
        <v>有限责任公司</v>
      </c>
      <c r="F27" s="43" t="str">
        <f t="shared" si="2"/>
        <v>金堂县税务局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四川美峰环境治理有限责任公司</v>
      </c>
      <c r="C49" s="43" t="str">
        <f t="shared" ref="C49:G49" si="3">C27</f>
        <v>金堂县行政审批局</v>
      </c>
      <c r="D49" s="43" t="str">
        <f t="shared" si="3"/>
        <v>91510100562018229T</v>
      </c>
      <c r="E49" s="43" t="str">
        <f t="shared" si="3"/>
        <v>有限责任公司</v>
      </c>
      <c r="F49" s="43" t="str">
        <f t="shared" si="3"/>
        <v>金堂县税务局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四川美峰环境治理有限责任公司</v>
      </c>
      <c r="C71" s="43" t="str">
        <f t="shared" ref="C71:G71" si="4">C49</f>
        <v>金堂县行政审批局</v>
      </c>
      <c r="D71" s="43" t="str">
        <f t="shared" si="4"/>
        <v>91510100562018229T</v>
      </c>
      <c r="E71" s="43" t="str">
        <f t="shared" si="4"/>
        <v>有限责任公司</v>
      </c>
      <c r="F71" s="43" t="str">
        <f t="shared" si="4"/>
        <v>金堂县税务局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四川美峰环境治理有限责任公司</v>
      </c>
      <c r="C93" s="43" t="str">
        <f t="shared" ref="C93:G93" si="5">C71</f>
        <v>金堂县行政审批局</v>
      </c>
      <c r="D93" s="43" t="str">
        <f t="shared" si="5"/>
        <v>91510100562018229T</v>
      </c>
      <c r="E93" s="43" t="str">
        <f t="shared" si="5"/>
        <v>有限责任公司</v>
      </c>
      <c r="F93" s="43" t="str">
        <f t="shared" si="5"/>
        <v>金堂县税务局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2000</v>
      </c>
      <c r="L115" s="43"/>
      <c r="M115" s="43"/>
      <c r="N115" s="50"/>
      <c r="O115" s="50"/>
      <c r="P115" s="43"/>
      <c r="Q115" s="43"/>
      <c r="R115" s="43"/>
      <c r="S115" s="43"/>
      <c r="T115" s="43"/>
      <c r="U115" s="43"/>
      <c r="V115" s="43"/>
      <c r="W115" s="43"/>
      <c r="X115" s="43"/>
      <c r="Y115" s="43">
        <f>Y93+Y71+Y49+Y27++Y4</f>
        <v>38.9</v>
      </c>
      <c r="Z115" s="43"/>
      <c r="AA115" s="43"/>
      <c r="AB115" s="43"/>
    </row>
    <row r="116" spans="1:28">
      <c r="I116" s="36" t="s">
        <v>49</v>
      </c>
      <c r="K116" s="36">
        <f>IF(K115&gt;3000,K117,K115)</f>
        <v>2000</v>
      </c>
    </row>
    <row r="117" spans="1:28" hidden="1">
      <c r="K117" s="36">
        <f>IF(K116&gt;3000,K118,K116)</f>
        <v>2000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AC117"/>
  <sheetViews>
    <sheetView topLeftCell="N1" workbookViewId="0">
      <pane ySplit="3" topLeftCell="A4" activePane="bottomLeft" state="frozen"/>
      <selection pane="bottomLeft" activeCell="AA6" sqref="AA6"/>
    </sheetView>
  </sheetViews>
  <sheetFormatPr defaultColWidth="9" defaultRowHeight="14"/>
  <cols>
    <col min="1" max="6" width="9" style="36"/>
    <col min="7" max="7" width="9" style="36" hidden="1" customWidth="1"/>
    <col min="8" max="12" width="9" style="36"/>
    <col min="13" max="13" width="10.08203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成都巴莫科技有限责任公司审计明细表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596</v>
      </c>
      <c r="C4" s="43" t="s">
        <v>1254</v>
      </c>
      <c r="D4" s="43" t="s">
        <v>1259</v>
      </c>
      <c r="E4" s="43" t="s">
        <v>78</v>
      </c>
      <c r="F4" s="43" t="s">
        <v>1256</v>
      </c>
      <c r="G4" s="43" t="s">
        <v>1229</v>
      </c>
      <c r="H4" s="43" t="s">
        <v>71</v>
      </c>
      <c r="I4" s="43" t="s">
        <v>1260</v>
      </c>
      <c r="J4" s="43" t="s">
        <v>73</v>
      </c>
      <c r="K4" s="43">
        <v>1000</v>
      </c>
      <c r="L4" s="43" t="s">
        <v>1261</v>
      </c>
      <c r="M4" s="152" t="s">
        <v>1262</v>
      </c>
      <c r="N4" s="65">
        <v>45286</v>
      </c>
      <c r="O4" s="65">
        <v>45291</v>
      </c>
      <c r="P4" s="43">
        <f>P5-N4</f>
        <v>26</v>
      </c>
      <c r="Q4" s="55">
        <f>SUM(Q5:Q26)</f>
        <v>2.02</v>
      </c>
      <c r="R4" s="55">
        <v>0.28999999999999998</v>
      </c>
      <c r="S4" s="43"/>
      <c r="T4" s="55">
        <f>SUM(T5:T26)</f>
        <v>2.02</v>
      </c>
      <c r="U4" s="56">
        <v>2.8000000000000001E-2</v>
      </c>
      <c r="V4" s="50"/>
      <c r="W4" s="43" t="s">
        <v>42</v>
      </c>
      <c r="X4" s="57">
        <v>1.4999999999999999E-2</v>
      </c>
      <c r="Y4" s="43">
        <f>ROUNDDOWN(IF((O4-N4+1)*K4*X4/365&gt;R4,R4,(O4-N4+1)*K4*X4/365),2)</f>
        <v>0.24</v>
      </c>
      <c r="Z4" s="55">
        <f>R4-Y4</f>
        <v>0.05</v>
      </c>
      <c r="AA4" s="55" t="s">
        <v>1263</v>
      </c>
      <c r="AB4" s="43" t="s">
        <v>61</v>
      </c>
    </row>
    <row r="5" spans="1:29" s="35" customFormat="1">
      <c r="A5" s="44"/>
      <c r="B5" s="44"/>
      <c r="C5" s="44"/>
      <c r="D5" s="44"/>
      <c r="E5" s="44"/>
      <c r="F5" s="44"/>
      <c r="G5" s="44"/>
      <c r="H5" s="44"/>
      <c r="I5" s="44"/>
      <c r="J5" s="44"/>
      <c r="K5" s="44"/>
      <c r="L5" s="44"/>
      <c r="M5" s="63"/>
      <c r="N5" s="52"/>
      <c r="O5" s="52">
        <v>45650</v>
      </c>
      <c r="P5" s="53">
        <v>45312</v>
      </c>
      <c r="Q5" s="58">
        <v>2.02</v>
      </c>
      <c r="R5" s="44"/>
      <c r="S5" s="53">
        <v>45312</v>
      </c>
      <c r="T5" s="58">
        <f>(S5-N4)/360*$U$4*$K$4</f>
        <v>2.02</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c r="Q6" s="58"/>
      <c r="R6" s="44"/>
      <c r="S6" s="53"/>
      <c r="T6" s="58">
        <v>0</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c r="Q7" s="58"/>
      <c r="R7" s="44"/>
      <c r="S7" s="53"/>
      <c r="T7" s="58">
        <f t="shared" ref="T7:T9" si="0">(S7-S6)/360*$U$4*$K$4</f>
        <v>0</v>
      </c>
      <c r="U7" s="58">
        <f t="shared" ref="U7:U9" si="1">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f t="shared" si="0"/>
        <v>0</v>
      </c>
      <c r="U8" s="58">
        <f t="shared" si="1"/>
        <v>0</v>
      </c>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f t="shared" si="0"/>
        <v>0</v>
      </c>
      <c r="U9" s="58">
        <f t="shared" si="1"/>
        <v>0</v>
      </c>
      <c r="V9" s="44"/>
      <c r="W9" s="44"/>
      <c r="X9" s="44"/>
      <c r="Y9" s="44"/>
      <c r="Z9" s="44"/>
      <c r="AA9" s="44"/>
      <c r="AB9" s="44"/>
    </row>
    <row r="10" spans="1:29" s="35" customFormat="1" hidden="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hidden="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hidden="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成都巴莫科技有限责任公司</v>
      </c>
      <c r="C27" s="43" t="str">
        <f t="shared" ref="C27:G27" si="2">C4</f>
        <v>金堂县行政审批局</v>
      </c>
      <c r="D27" s="43" t="str">
        <f t="shared" si="2"/>
        <v>91510121350570652Q</v>
      </c>
      <c r="E27" s="43" t="str">
        <f t="shared" si="2"/>
        <v>民营企业</v>
      </c>
      <c r="F27" s="43" t="str">
        <f t="shared" si="2"/>
        <v>金堂县税务局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成都巴莫科技有限责任公司</v>
      </c>
      <c r="C49" s="43" t="str">
        <f t="shared" ref="C49:G49" si="3">C27</f>
        <v>金堂县行政审批局</v>
      </c>
      <c r="D49" s="43" t="str">
        <f t="shared" si="3"/>
        <v>91510121350570652Q</v>
      </c>
      <c r="E49" s="43" t="str">
        <f t="shared" si="3"/>
        <v>民营企业</v>
      </c>
      <c r="F49" s="43" t="str">
        <f t="shared" si="3"/>
        <v>金堂县税务局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成都巴莫科技有限责任公司</v>
      </c>
      <c r="C71" s="43" t="str">
        <f t="shared" ref="C71:G71" si="4">C49</f>
        <v>金堂县行政审批局</v>
      </c>
      <c r="D71" s="43" t="str">
        <f t="shared" si="4"/>
        <v>91510121350570652Q</v>
      </c>
      <c r="E71" s="43" t="str">
        <f t="shared" si="4"/>
        <v>民营企业</v>
      </c>
      <c r="F71" s="43" t="str">
        <f t="shared" si="4"/>
        <v>金堂县税务局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成都巴莫科技有限责任公司</v>
      </c>
      <c r="C93" s="43" t="str">
        <f t="shared" ref="C93:G93" si="5">C71</f>
        <v>金堂县行政审批局</v>
      </c>
      <c r="D93" s="43" t="str">
        <f t="shared" si="5"/>
        <v>91510121350570652Q</v>
      </c>
      <c r="E93" s="43" t="str">
        <f t="shared" si="5"/>
        <v>民营企业</v>
      </c>
      <c r="F93" s="43" t="str">
        <f t="shared" si="5"/>
        <v>金堂县税务局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0.24</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AC107"/>
  <sheetViews>
    <sheetView zoomScale="60" zoomScaleNormal="60" workbookViewId="0">
      <pane ySplit="3" topLeftCell="A4" activePane="bottomLeft" state="frozen"/>
      <selection pane="bottomLeft" activeCell="D12" sqref="D12"/>
    </sheetView>
  </sheetViews>
  <sheetFormatPr defaultColWidth="9" defaultRowHeight="14"/>
  <cols>
    <col min="1" max="6" width="9" style="36"/>
    <col min="7" max="7" width="9" style="36" hidden="1" customWidth="1"/>
    <col min="8" max="12" width="9" style="36"/>
    <col min="13" max="13" width="1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成都卡乐福高分子材料股份有限公司审计明细表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629</v>
      </c>
      <c r="C4" s="43" t="s">
        <v>52</v>
      </c>
      <c r="D4" s="43" t="s">
        <v>1264</v>
      </c>
      <c r="E4" s="43" t="s">
        <v>54</v>
      </c>
      <c r="F4" s="43" t="s">
        <v>1265</v>
      </c>
      <c r="G4" s="43" t="s">
        <v>1229</v>
      </c>
      <c r="H4" s="43" t="s">
        <v>71</v>
      </c>
      <c r="I4" s="43" t="s">
        <v>1266</v>
      </c>
      <c r="J4" s="43" t="s">
        <v>73</v>
      </c>
      <c r="K4" s="43">
        <v>220</v>
      </c>
      <c r="L4" s="43" t="s">
        <v>1267</v>
      </c>
      <c r="M4" s="49" t="s">
        <v>1268</v>
      </c>
      <c r="N4" s="65">
        <v>44915</v>
      </c>
      <c r="O4" s="65">
        <v>45278</v>
      </c>
      <c r="P4" s="43">
        <f>P16-N4</f>
        <v>363</v>
      </c>
      <c r="Q4" s="55">
        <f>SUM(Q5:Q16)</f>
        <v>8.08</v>
      </c>
      <c r="R4" s="55">
        <v>3.28</v>
      </c>
      <c r="S4" s="43"/>
      <c r="T4" s="55">
        <f>SUM(T5:T16)</f>
        <v>8.08</v>
      </c>
      <c r="U4" s="56">
        <v>3.6499999999999998E-2</v>
      </c>
      <c r="V4" s="50"/>
      <c r="W4" s="43" t="s">
        <v>1269</v>
      </c>
      <c r="X4" s="57">
        <v>1.4999999999999999E-2</v>
      </c>
      <c r="Y4" s="43">
        <f>ROUNDDOWN(IF((O4-N4+1)*K4*X4/365&gt;R4,R4,(O4-N4+1)*K4*X4/365),2)</f>
        <v>3.28</v>
      </c>
      <c r="Z4" s="55">
        <f>R4-Y4</f>
        <v>0</v>
      </c>
      <c r="AA4" s="55"/>
      <c r="AB4" s="43" t="s">
        <v>61</v>
      </c>
    </row>
    <row r="5" spans="1:29" s="35" customFormat="1">
      <c r="A5" s="44"/>
      <c r="B5" s="44"/>
      <c r="C5" s="44"/>
      <c r="D5" s="44"/>
      <c r="E5" s="44"/>
      <c r="F5" s="44"/>
      <c r="G5" s="44"/>
      <c r="H5" s="44"/>
      <c r="I5" s="44"/>
      <c r="J5" s="44"/>
      <c r="K5" s="44"/>
      <c r="L5" s="44"/>
      <c r="M5" s="63"/>
      <c r="N5" s="52"/>
      <c r="O5" s="52"/>
      <c r="P5" s="53">
        <v>44946</v>
      </c>
      <c r="Q5" s="58">
        <v>0.69</v>
      </c>
      <c r="R5" s="44"/>
      <c r="S5" s="53">
        <v>44946</v>
      </c>
      <c r="T5" s="58">
        <f>(S5-N4)/360*$U$4*$K$4</f>
        <v>0.69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0.69</v>
      </c>
      <c r="R6" s="44"/>
      <c r="S6" s="53">
        <v>44977</v>
      </c>
      <c r="T6" s="58">
        <f>(S6-S5)/360*$U$4*$K$4</f>
        <v>0.69</v>
      </c>
      <c r="U6" s="58">
        <f>T6-Q6</f>
        <v>0</v>
      </c>
      <c r="V6" s="52"/>
      <c r="W6" s="44"/>
      <c r="X6" s="44"/>
      <c r="Y6" s="44"/>
      <c r="Z6" s="44"/>
      <c r="AA6" s="44"/>
      <c r="AB6" s="44"/>
    </row>
    <row r="7" spans="1:29" s="35" customFormat="1">
      <c r="A7" s="44"/>
      <c r="B7" s="44"/>
      <c r="C7" s="44"/>
      <c r="D7" s="44"/>
      <c r="E7" s="44"/>
      <c r="F7" s="44"/>
      <c r="G7" s="44"/>
      <c r="H7" s="44"/>
      <c r="I7" s="44"/>
      <c r="J7" s="44"/>
      <c r="K7" s="44"/>
      <c r="L7" s="44"/>
      <c r="M7" s="44"/>
      <c r="N7" s="44">
        <v>7.46</v>
      </c>
      <c r="O7" s="53"/>
      <c r="P7" s="53">
        <v>45005</v>
      </c>
      <c r="Q7" s="58">
        <v>0.62</v>
      </c>
      <c r="R7" s="44"/>
      <c r="S7" s="53">
        <v>45005</v>
      </c>
      <c r="T7" s="58">
        <f t="shared" ref="T7:T16" si="0">(S7-S6)/360*$U$4*$K$4</f>
        <v>0.62</v>
      </c>
      <c r="U7" s="58">
        <f t="shared" ref="U7:U16" si="1">T7-Q7</f>
        <v>0</v>
      </c>
      <c r="V7" s="44"/>
      <c r="W7" s="44"/>
      <c r="X7" s="44"/>
      <c r="Y7" s="44"/>
      <c r="Z7" s="44"/>
      <c r="AA7" s="44"/>
      <c r="AB7" s="44"/>
    </row>
    <row r="8" spans="1:29" s="35" customFormat="1">
      <c r="A8" s="44"/>
      <c r="B8" s="44"/>
      <c r="C8" s="44"/>
      <c r="D8" s="44"/>
      <c r="E8" s="44"/>
      <c r="F8" s="44"/>
      <c r="G8" s="44"/>
      <c r="H8" s="44"/>
      <c r="I8" s="44"/>
      <c r="J8" s="44"/>
      <c r="K8" s="44"/>
      <c r="L8" s="44">
        <v>220</v>
      </c>
      <c r="M8" s="44">
        <f>L8/$L$11</f>
        <v>0.44</v>
      </c>
      <c r="N8" s="29">
        <f>M8*$N$7</f>
        <v>3.28</v>
      </c>
      <c r="O8" s="52"/>
      <c r="P8" s="53">
        <v>45036</v>
      </c>
      <c r="Q8" s="58">
        <v>0.69</v>
      </c>
      <c r="R8" s="44"/>
      <c r="S8" s="53">
        <v>45036</v>
      </c>
      <c r="T8" s="58">
        <f t="shared" si="0"/>
        <v>0.69</v>
      </c>
      <c r="U8" s="58">
        <f t="shared" si="1"/>
        <v>0</v>
      </c>
      <c r="V8" s="44"/>
      <c r="W8" s="44"/>
      <c r="X8" s="44"/>
      <c r="Y8" s="44"/>
      <c r="Z8" s="44"/>
      <c r="AA8" s="44"/>
      <c r="AB8" s="44"/>
    </row>
    <row r="9" spans="1:29" s="35" customFormat="1">
      <c r="A9" s="44"/>
      <c r="B9" s="44"/>
      <c r="C9" s="44"/>
      <c r="D9" s="44"/>
      <c r="E9" s="44"/>
      <c r="F9" s="44"/>
      <c r="G9" s="44"/>
      <c r="H9" s="44"/>
      <c r="I9" s="44"/>
      <c r="J9" s="44"/>
      <c r="K9" s="44"/>
      <c r="L9" s="44">
        <v>80</v>
      </c>
      <c r="M9" s="44">
        <f t="shared" ref="M9:M10" si="2">L9/$L$11</f>
        <v>0.16</v>
      </c>
      <c r="N9" s="29">
        <f t="shared" ref="N9:N10" si="3">M9*$N$7</f>
        <v>1.19</v>
      </c>
      <c r="O9" s="52"/>
      <c r="P9" s="53">
        <v>45066</v>
      </c>
      <c r="Q9" s="58">
        <v>0.67</v>
      </c>
      <c r="R9" s="44"/>
      <c r="S9" s="53">
        <v>45066</v>
      </c>
      <c r="T9" s="58">
        <f t="shared" si="0"/>
        <v>0.67</v>
      </c>
      <c r="U9" s="58">
        <f t="shared" si="1"/>
        <v>0</v>
      </c>
      <c r="V9" s="44"/>
      <c r="W9" s="44"/>
      <c r="X9" s="44"/>
      <c r="Y9" s="44"/>
      <c r="Z9" s="44"/>
      <c r="AA9" s="44"/>
      <c r="AB9" s="44"/>
    </row>
    <row r="10" spans="1:29" s="35" customFormat="1">
      <c r="A10" s="44"/>
      <c r="B10" s="44"/>
      <c r="C10" s="44"/>
      <c r="D10" s="44"/>
      <c r="E10" s="44"/>
      <c r="F10" s="44"/>
      <c r="G10" s="44"/>
      <c r="H10" s="44"/>
      <c r="I10" s="44"/>
      <c r="J10" s="44"/>
      <c r="K10" s="44"/>
      <c r="L10" s="44">
        <v>200</v>
      </c>
      <c r="M10" s="44">
        <f t="shared" si="2"/>
        <v>0.4</v>
      </c>
      <c r="N10" s="29">
        <f t="shared" si="3"/>
        <v>2.98</v>
      </c>
      <c r="O10" s="52"/>
      <c r="P10" s="53">
        <v>45097</v>
      </c>
      <c r="Q10" s="58">
        <v>0.69</v>
      </c>
      <c r="R10" s="44"/>
      <c r="S10" s="53">
        <v>45097</v>
      </c>
      <c r="T10" s="58">
        <f t="shared" si="0"/>
        <v>0.69</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f>SUM(L8:L10)</f>
        <v>500</v>
      </c>
      <c r="M11" s="44"/>
      <c r="N11" s="52"/>
      <c r="O11" s="52"/>
      <c r="P11" s="53">
        <v>45127</v>
      </c>
      <c r="Q11" s="58">
        <v>0.67</v>
      </c>
      <c r="R11" s="44"/>
      <c r="S11" s="53">
        <v>45127</v>
      </c>
      <c r="T11" s="58">
        <f t="shared" si="0"/>
        <v>0.67</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0.69</v>
      </c>
      <c r="R12" s="44"/>
      <c r="S12" s="53">
        <v>45158</v>
      </c>
      <c r="T12" s="58">
        <f t="shared" si="0"/>
        <v>0.69</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0.69</v>
      </c>
      <c r="R13" s="44"/>
      <c r="S13" s="53">
        <v>45189</v>
      </c>
      <c r="T13" s="58">
        <f t="shared" si="0"/>
        <v>0.69</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0.67</v>
      </c>
      <c r="R14" s="44"/>
      <c r="S14" s="53">
        <v>45219</v>
      </c>
      <c r="T14" s="58">
        <f t="shared" si="0"/>
        <v>0.67</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0.69</v>
      </c>
      <c r="R15" s="44"/>
      <c r="S15" s="53">
        <v>45250</v>
      </c>
      <c r="T15" s="58">
        <f t="shared" si="0"/>
        <v>0.69</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45278</v>
      </c>
      <c r="Q16" s="58">
        <v>0.62</v>
      </c>
      <c r="R16" s="44"/>
      <c r="S16" s="53">
        <v>45278</v>
      </c>
      <c r="T16" s="58">
        <f t="shared" si="0"/>
        <v>0.62</v>
      </c>
      <c r="U16" s="58">
        <f t="shared" si="1"/>
        <v>0</v>
      </c>
      <c r="V16" s="44"/>
      <c r="W16" s="44"/>
      <c r="X16" s="44"/>
      <c r="Y16" s="44"/>
      <c r="Z16" s="44"/>
      <c r="AA16" s="44"/>
      <c r="AB16" s="44"/>
    </row>
    <row r="17" spans="1:28" s="34" customFormat="1" ht="126">
      <c r="A17" s="43">
        <v>2</v>
      </c>
      <c r="B17" s="43" t="str">
        <f t="shared" ref="B17:G17" si="4">B4</f>
        <v>成都卡乐福高分子材料股份有限公司</v>
      </c>
      <c r="C17" s="43" t="str">
        <f t="shared" si="4"/>
        <v>成都市市场监督管理局</v>
      </c>
      <c r="D17" s="43" t="str">
        <f t="shared" si="4"/>
        <v>91510121069778048Y</v>
      </c>
      <c r="E17" s="43" t="str">
        <f t="shared" si="4"/>
        <v>股份有限公司</v>
      </c>
      <c r="F17" s="43" t="str">
        <f t="shared" si="4"/>
        <v>金堂县淮口税务局</v>
      </c>
      <c r="G17" s="43" t="str">
        <f t="shared" si="4"/>
        <v>收款账号：511610018010210321008
开户行：交通银行成都双流棠湖支行</v>
      </c>
      <c r="H17" s="43" t="s">
        <v>71</v>
      </c>
      <c r="I17" s="43" t="s">
        <v>1266</v>
      </c>
      <c r="J17" s="43" t="s">
        <v>73</v>
      </c>
      <c r="K17" s="43">
        <v>80</v>
      </c>
      <c r="L17" s="43" t="s">
        <v>1270</v>
      </c>
      <c r="M17" s="49" t="s">
        <v>1271</v>
      </c>
      <c r="N17" s="65">
        <v>44915</v>
      </c>
      <c r="O17" s="65">
        <v>45278</v>
      </c>
      <c r="P17" s="43">
        <f>P29-N17</f>
        <v>363</v>
      </c>
      <c r="Q17" s="55">
        <f>SUM(Q18:Q29)</f>
        <v>2.93</v>
      </c>
      <c r="R17" s="55">
        <v>1.2</v>
      </c>
      <c r="S17" s="43"/>
      <c r="T17" s="55">
        <f>SUM(T18:T29)</f>
        <v>2.93</v>
      </c>
      <c r="U17" s="56">
        <v>3.6499999999999998E-2</v>
      </c>
      <c r="V17" s="50"/>
      <c r="W17" s="43" t="s">
        <v>1272</v>
      </c>
      <c r="X17" s="57">
        <v>1.4999999999999999E-2</v>
      </c>
      <c r="Y17" s="43">
        <f>ROUNDDOWN(IF((O17-N17+1)*K17*X17/365&gt;R17,R17,(O17-N17+1)*K17*X17/365),2)</f>
        <v>1.19</v>
      </c>
      <c r="Z17" s="55">
        <f>R17-Y17</f>
        <v>0.01</v>
      </c>
      <c r="AA17" s="55" t="s">
        <v>108</v>
      </c>
      <c r="AB17" s="43" t="s">
        <v>61</v>
      </c>
    </row>
    <row r="18" spans="1:28" s="35" customFormat="1">
      <c r="A18" s="44"/>
      <c r="B18" s="44"/>
      <c r="C18" s="44"/>
      <c r="D18" s="44"/>
      <c r="E18" s="44"/>
      <c r="F18" s="44"/>
      <c r="G18" s="44"/>
      <c r="H18" s="44"/>
      <c r="I18" s="44"/>
      <c r="J18" s="44"/>
      <c r="K18" s="44"/>
      <c r="L18" s="44"/>
      <c r="M18" s="44"/>
      <c r="N18" s="52"/>
      <c r="O18" s="52"/>
      <c r="P18" s="53">
        <v>44946</v>
      </c>
      <c r="Q18" s="58">
        <v>0.25</v>
      </c>
      <c r="R18" s="44"/>
      <c r="S18" s="53">
        <v>44946</v>
      </c>
      <c r="T18" s="58">
        <f>(S18-N17)/360*$U$17*$K$17</f>
        <v>0.25</v>
      </c>
      <c r="U18" s="58">
        <f>T18-Q18</f>
        <v>0</v>
      </c>
      <c r="V18" s="52"/>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v>44977</v>
      </c>
      <c r="Q19" s="58">
        <v>0.25</v>
      </c>
      <c r="R19" s="44"/>
      <c r="S19" s="53">
        <v>44977</v>
      </c>
      <c r="T19" s="58">
        <f>(S19-S18)/360*$U$17*$K$17</f>
        <v>0.25</v>
      </c>
      <c r="U19" s="58">
        <f>T19-Q19</f>
        <v>0</v>
      </c>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v>45005</v>
      </c>
      <c r="Q20" s="58">
        <v>0.23</v>
      </c>
      <c r="R20" s="44"/>
      <c r="S20" s="53">
        <v>45005</v>
      </c>
      <c r="T20" s="58">
        <f t="shared" ref="T20:T29" si="5">(S20-S19)/360*$U$17*$K$17</f>
        <v>0.23</v>
      </c>
      <c r="U20" s="58">
        <f t="shared" ref="U20:U29" si="6">T20-Q20</f>
        <v>0</v>
      </c>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v>45036</v>
      </c>
      <c r="Q21" s="58">
        <v>0.25</v>
      </c>
      <c r="R21" s="44"/>
      <c r="S21" s="53">
        <v>45036</v>
      </c>
      <c r="T21" s="58">
        <f t="shared" si="5"/>
        <v>0.25</v>
      </c>
      <c r="U21" s="58">
        <f t="shared" si="6"/>
        <v>0</v>
      </c>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v>45066</v>
      </c>
      <c r="Q22" s="58">
        <v>0.24</v>
      </c>
      <c r="R22" s="44"/>
      <c r="S22" s="53">
        <v>45066</v>
      </c>
      <c r="T22" s="58">
        <f t="shared" si="5"/>
        <v>0.24</v>
      </c>
      <c r="U22" s="58">
        <f t="shared" si="6"/>
        <v>0</v>
      </c>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v>45097</v>
      </c>
      <c r="Q23" s="58">
        <v>0.25</v>
      </c>
      <c r="R23" s="44"/>
      <c r="S23" s="53">
        <v>45097</v>
      </c>
      <c r="T23" s="58">
        <f t="shared" si="5"/>
        <v>0.25</v>
      </c>
      <c r="U23" s="58">
        <f t="shared" si="6"/>
        <v>0</v>
      </c>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v>45127</v>
      </c>
      <c r="Q24" s="58">
        <v>0.24</v>
      </c>
      <c r="R24" s="44"/>
      <c r="S24" s="53">
        <v>45127</v>
      </c>
      <c r="T24" s="58">
        <f t="shared" si="5"/>
        <v>0.24</v>
      </c>
      <c r="U24" s="58">
        <f t="shared" si="6"/>
        <v>0</v>
      </c>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v>45158</v>
      </c>
      <c r="Q25" s="58">
        <v>0.25</v>
      </c>
      <c r="R25" s="44"/>
      <c r="S25" s="53">
        <v>45158</v>
      </c>
      <c r="T25" s="58">
        <f t="shared" si="5"/>
        <v>0.25</v>
      </c>
      <c r="U25" s="58">
        <f t="shared" si="6"/>
        <v>0</v>
      </c>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v>45189</v>
      </c>
      <c r="Q26" s="58">
        <v>0.25</v>
      </c>
      <c r="R26" s="44"/>
      <c r="S26" s="53">
        <v>45189</v>
      </c>
      <c r="T26" s="58">
        <f t="shared" si="5"/>
        <v>0.25</v>
      </c>
      <c r="U26" s="58">
        <f t="shared" si="6"/>
        <v>0</v>
      </c>
      <c r="V26" s="44"/>
      <c r="W26" s="44"/>
      <c r="X26" s="44"/>
      <c r="Y26" s="44"/>
      <c r="Z26" s="44"/>
      <c r="AA26" s="44"/>
      <c r="AB26" s="44"/>
    </row>
    <row r="27" spans="1:28" s="35" customFormat="1">
      <c r="A27" s="44"/>
      <c r="B27" s="44"/>
      <c r="C27" s="44"/>
      <c r="D27" s="44"/>
      <c r="E27" s="44"/>
      <c r="F27" s="44"/>
      <c r="G27" s="44"/>
      <c r="H27" s="44"/>
      <c r="I27" s="44"/>
      <c r="J27" s="44"/>
      <c r="K27" s="44"/>
      <c r="L27" s="44"/>
      <c r="M27" s="44"/>
      <c r="N27" s="52"/>
      <c r="O27" s="52"/>
      <c r="P27" s="53">
        <v>45219</v>
      </c>
      <c r="Q27" s="58">
        <v>0.24</v>
      </c>
      <c r="R27" s="44"/>
      <c r="S27" s="53">
        <v>45219</v>
      </c>
      <c r="T27" s="58">
        <f t="shared" si="5"/>
        <v>0.24</v>
      </c>
      <c r="U27" s="58">
        <f t="shared" si="6"/>
        <v>0</v>
      </c>
      <c r="V27" s="44"/>
      <c r="W27" s="44"/>
      <c r="X27" s="44"/>
      <c r="Y27" s="44"/>
      <c r="Z27" s="44"/>
      <c r="AA27" s="44"/>
      <c r="AB27" s="44"/>
    </row>
    <row r="28" spans="1:28" s="35" customFormat="1">
      <c r="A28" s="44"/>
      <c r="B28" s="44"/>
      <c r="C28" s="44"/>
      <c r="D28" s="44"/>
      <c r="E28" s="44"/>
      <c r="F28" s="44"/>
      <c r="G28" s="44"/>
      <c r="H28" s="44"/>
      <c r="I28" s="44"/>
      <c r="J28" s="44"/>
      <c r="K28" s="44"/>
      <c r="L28" s="44"/>
      <c r="M28" s="44"/>
      <c r="N28" s="52"/>
      <c r="O28" s="52"/>
      <c r="P28" s="53">
        <v>45250</v>
      </c>
      <c r="Q28" s="58">
        <v>0.25</v>
      </c>
      <c r="R28" s="44"/>
      <c r="S28" s="53">
        <v>45250</v>
      </c>
      <c r="T28" s="58">
        <f t="shared" si="5"/>
        <v>0.25</v>
      </c>
      <c r="U28" s="58">
        <f t="shared" si="6"/>
        <v>0</v>
      </c>
      <c r="V28" s="44"/>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45278</v>
      </c>
      <c r="Q29" s="58">
        <v>0.23</v>
      </c>
      <c r="R29" s="44"/>
      <c r="S29" s="53">
        <v>45278</v>
      </c>
      <c r="T29" s="58">
        <f t="shared" si="5"/>
        <v>0.23</v>
      </c>
      <c r="U29" s="58">
        <f t="shared" si="6"/>
        <v>0</v>
      </c>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4" customFormat="1" ht="126">
      <c r="A39" s="43">
        <v>3</v>
      </c>
      <c r="B39" s="43" t="str">
        <f>B17</f>
        <v>成都卡乐福高分子材料股份有限公司</v>
      </c>
      <c r="C39" s="43" t="str">
        <f t="shared" ref="C39:G39" si="7">C17</f>
        <v>成都市市场监督管理局</v>
      </c>
      <c r="D39" s="43" t="str">
        <f t="shared" si="7"/>
        <v>91510121069778048Y</v>
      </c>
      <c r="E39" s="43" t="str">
        <f t="shared" si="7"/>
        <v>股份有限公司</v>
      </c>
      <c r="F39" s="43" t="str">
        <f t="shared" si="7"/>
        <v>金堂县淮口税务局</v>
      </c>
      <c r="G39" s="43" t="str">
        <f t="shared" si="7"/>
        <v>收款账号：511610018010210321008
开户行：交通银行成都双流棠湖支行</v>
      </c>
      <c r="H39" s="43" t="s">
        <v>71</v>
      </c>
      <c r="I39" s="43" t="s">
        <v>1266</v>
      </c>
      <c r="J39" s="43" t="s">
        <v>73</v>
      </c>
      <c r="K39" s="43">
        <v>200</v>
      </c>
      <c r="L39" s="43" t="s">
        <v>1270</v>
      </c>
      <c r="M39" s="153" t="s">
        <v>1273</v>
      </c>
      <c r="N39" s="65">
        <v>44915</v>
      </c>
      <c r="O39" s="65">
        <v>45278</v>
      </c>
      <c r="P39" s="43">
        <f>P51-N39</f>
        <v>363</v>
      </c>
      <c r="Q39" s="55">
        <f>SUM(Q40:Q51)</f>
        <v>7.38</v>
      </c>
      <c r="R39" s="55">
        <v>2.98</v>
      </c>
      <c r="S39" s="43"/>
      <c r="T39" s="55">
        <f>SUM(T40:T51)</f>
        <v>7.38</v>
      </c>
      <c r="U39" s="56">
        <v>3.6499999999999998E-2</v>
      </c>
      <c r="V39" s="50"/>
      <c r="W39" s="43" t="s">
        <v>1274</v>
      </c>
      <c r="X39" s="57">
        <v>1.4999999999999999E-2</v>
      </c>
      <c r="Y39" s="43">
        <f>ROUNDDOWN(IF((O39-N39+1)*K39*X39/365&gt;R39,R39,(O39-N39+1)*K39*X39/365),2)</f>
        <v>2.98</v>
      </c>
      <c r="Z39" s="55">
        <f>R39-Y39</f>
        <v>0</v>
      </c>
      <c r="AA39" s="55"/>
      <c r="AB39" s="43" t="s">
        <v>61</v>
      </c>
    </row>
    <row r="40" spans="1:28" s="35" customFormat="1">
      <c r="A40" s="44"/>
      <c r="B40" s="44"/>
      <c r="C40" s="44"/>
      <c r="D40" s="44"/>
      <c r="E40" s="44"/>
      <c r="F40" s="44"/>
      <c r="G40" s="44"/>
      <c r="H40" s="44"/>
      <c r="I40" s="44"/>
      <c r="J40" s="44"/>
      <c r="K40" s="44"/>
      <c r="L40" s="44"/>
      <c r="M40" s="44"/>
      <c r="N40" s="52"/>
      <c r="O40" s="52"/>
      <c r="P40" s="53">
        <v>44946</v>
      </c>
      <c r="Q40" s="58">
        <v>0.63</v>
      </c>
      <c r="R40" s="44"/>
      <c r="S40" s="53">
        <v>44946</v>
      </c>
      <c r="T40" s="58">
        <f>(S40-N39)/360*$U$39*$K$39</f>
        <v>0.63</v>
      </c>
      <c r="U40" s="58">
        <f>T40-Q40</f>
        <v>0</v>
      </c>
      <c r="V40" s="52"/>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v>44977</v>
      </c>
      <c r="Q41" s="58">
        <v>0.63</v>
      </c>
      <c r="R41" s="44"/>
      <c r="S41" s="53">
        <v>44977</v>
      </c>
      <c r="T41" s="58">
        <f>(S41-S40)/360*$U$39*$K$39</f>
        <v>0.63</v>
      </c>
      <c r="U41" s="58">
        <f>T41-Q41</f>
        <v>0</v>
      </c>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v>45005</v>
      </c>
      <c r="Q42" s="58">
        <v>0.56999999999999995</v>
      </c>
      <c r="R42" s="44"/>
      <c r="S42" s="53">
        <v>45005</v>
      </c>
      <c r="T42" s="58">
        <f t="shared" ref="T42:T51" si="8">(S42-S41)/360*$U$39*$K$39</f>
        <v>0.56999999999999995</v>
      </c>
      <c r="U42" s="58">
        <f t="shared" ref="U42:U51" si="9">T42-Q42</f>
        <v>0</v>
      </c>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v>45036</v>
      </c>
      <c r="Q43" s="58">
        <v>0.63</v>
      </c>
      <c r="R43" s="44"/>
      <c r="S43" s="53">
        <v>45036</v>
      </c>
      <c r="T43" s="58">
        <f t="shared" si="8"/>
        <v>0.63</v>
      </c>
      <c r="U43" s="58">
        <f t="shared" si="9"/>
        <v>0</v>
      </c>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v>45066</v>
      </c>
      <c r="Q44" s="58">
        <v>0.61</v>
      </c>
      <c r="R44" s="44"/>
      <c r="S44" s="53">
        <v>45066</v>
      </c>
      <c r="T44" s="58">
        <f t="shared" si="8"/>
        <v>0.61</v>
      </c>
      <c r="U44" s="58">
        <f t="shared" si="9"/>
        <v>0</v>
      </c>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v>45097</v>
      </c>
      <c r="Q45" s="58">
        <v>0.63</v>
      </c>
      <c r="R45" s="44"/>
      <c r="S45" s="53">
        <v>45097</v>
      </c>
      <c r="T45" s="58">
        <f t="shared" si="8"/>
        <v>0.63</v>
      </c>
      <c r="U45" s="58">
        <f t="shared" si="9"/>
        <v>0</v>
      </c>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v>45127</v>
      </c>
      <c r="Q46" s="58">
        <v>0.61</v>
      </c>
      <c r="R46" s="44"/>
      <c r="S46" s="53">
        <v>45127</v>
      </c>
      <c r="T46" s="58">
        <f t="shared" si="8"/>
        <v>0.61</v>
      </c>
      <c r="U46" s="58">
        <f t="shared" si="9"/>
        <v>0</v>
      </c>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v>45158</v>
      </c>
      <c r="Q47" s="58">
        <v>0.63</v>
      </c>
      <c r="R47" s="44"/>
      <c r="S47" s="53">
        <v>45158</v>
      </c>
      <c r="T47" s="58">
        <f t="shared" si="8"/>
        <v>0.63</v>
      </c>
      <c r="U47" s="58">
        <f t="shared" si="9"/>
        <v>0</v>
      </c>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v>45189</v>
      </c>
      <c r="Q48" s="58">
        <v>0.63</v>
      </c>
      <c r="R48" s="44"/>
      <c r="S48" s="53">
        <v>45189</v>
      </c>
      <c r="T48" s="58">
        <f t="shared" si="8"/>
        <v>0.63</v>
      </c>
      <c r="U48" s="58">
        <f t="shared" si="9"/>
        <v>0</v>
      </c>
      <c r="V48" s="44"/>
      <c r="W48" s="44"/>
      <c r="X48" s="44"/>
      <c r="Y48" s="44"/>
      <c r="Z48" s="44"/>
      <c r="AA48" s="44"/>
      <c r="AB48" s="44"/>
    </row>
    <row r="49" spans="1:28" s="35" customFormat="1">
      <c r="A49" s="44"/>
      <c r="B49" s="44"/>
      <c r="C49" s="44"/>
      <c r="D49" s="44"/>
      <c r="E49" s="44"/>
      <c r="F49" s="44"/>
      <c r="G49" s="44"/>
      <c r="H49" s="44"/>
      <c r="I49" s="44"/>
      <c r="J49" s="44"/>
      <c r="K49" s="44"/>
      <c r="L49" s="44"/>
      <c r="M49" s="44"/>
      <c r="N49" s="52"/>
      <c r="O49" s="52"/>
      <c r="P49" s="53">
        <v>45219</v>
      </c>
      <c r="Q49" s="58">
        <v>0.61</v>
      </c>
      <c r="R49" s="44"/>
      <c r="S49" s="53">
        <v>45219</v>
      </c>
      <c r="T49" s="58">
        <f t="shared" si="8"/>
        <v>0.61</v>
      </c>
      <c r="U49" s="58">
        <f t="shared" si="9"/>
        <v>0</v>
      </c>
      <c r="V49" s="44"/>
      <c r="W49" s="44"/>
      <c r="X49" s="44"/>
      <c r="Y49" s="44"/>
      <c r="Z49" s="44"/>
      <c r="AA49" s="44"/>
      <c r="AB49" s="44"/>
    </row>
    <row r="50" spans="1:28" s="35" customFormat="1">
      <c r="A50" s="44"/>
      <c r="B50" s="44"/>
      <c r="C50" s="44"/>
      <c r="D50" s="44"/>
      <c r="E50" s="44"/>
      <c r="F50" s="44"/>
      <c r="G50" s="44"/>
      <c r="H50" s="44"/>
      <c r="I50" s="44"/>
      <c r="J50" s="44"/>
      <c r="K50" s="44"/>
      <c r="L50" s="44"/>
      <c r="M50" s="44"/>
      <c r="N50" s="52"/>
      <c r="O50" s="52"/>
      <c r="P50" s="53">
        <v>45250</v>
      </c>
      <c r="Q50" s="58">
        <v>0.63</v>
      </c>
      <c r="R50" s="44"/>
      <c r="S50" s="53">
        <v>45250</v>
      </c>
      <c r="T50" s="58">
        <f t="shared" si="8"/>
        <v>0.63</v>
      </c>
      <c r="U50" s="58">
        <f t="shared" si="9"/>
        <v>0</v>
      </c>
      <c r="V50" s="44"/>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v>45278</v>
      </c>
      <c r="Q51" s="58">
        <v>0.56999999999999995</v>
      </c>
      <c r="R51" s="44"/>
      <c r="S51" s="53">
        <v>45278</v>
      </c>
      <c r="T51" s="58">
        <f t="shared" si="8"/>
        <v>0.56999999999999995</v>
      </c>
      <c r="U51" s="58">
        <f t="shared" si="9"/>
        <v>0</v>
      </c>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4" customFormat="1" ht="126" hidden="1">
      <c r="A61" s="43">
        <v>4</v>
      </c>
      <c r="B61" s="43" t="str">
        <f>B39</f>
        <v>成都卡乐福高分子材料股份有限公司</v>
      </c>
      <c r="C61" s="43" t="str">
        <f t="shared" ref="C61:G61" si="10">C39</f>
        <v>成都市市场监督管理局</v>
      </c>
      <c r="D61" s="43" t="str">
        <f t="shared" si="10"/>
        <v>91510121069778048Y</v>
      </c>
      <c r="E61" s="43" t="str">
        <f t="shared" si="10"/>
        <v>股份有限公司</v>
      </c>
      <c r="F61" s="43" t="str">
        <f t="shared" si="10"/>
        <v>金堂县淮口税务局</v>
      </c>
      <c r="G61" s="43" t="str">
        <f t="shared" si="10"/>
        <v>收款账号：511610018010210321008
开户行：交通银行成都双流棠湖支行</v>
      </c>
      <c r="H61" s="43"/>
      <c r="I61" s="43"/>
      <c r="J61" s="43"/>
      <c r="K61" s="43"/>
      <c r="L61" s="43"/>
      <c r="M61" s="43"/>
      <c r="N61" s="50"/>
      <c r="O61" s="50"/>
      <c r="P61" s="43"/>
      <c r="Q61" s="55">
        <f>SUM(Q62:Q82)</f>
        <v>0</v>
      </c>
      <c r="R61" s="43"/>
      <c r="S61" s="43"/>
      <c r="T61" s="43">
        <f>SUM(T62:T82)</f>
        <v>0</v>
      </c>
      <c r="U61" s="43"/>
      <c r="V61" s="50"/>
      <c r="W61" s="43"/>
      <c r="X61" s="64"/>
      <c r="Y61" s="43">
        <f>ROUNDUP(IF((O61-N61+1)*K61*X61/365&gt;R61,R61,(O61-N61+1)*K61*X61/365),2)</f>
        <v>0</v>
      </c>
      <c r="Z61" s="43"/>
      <c r="AA61" s="43"/>
      <c r="AB61" s="43"/>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52"/>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5" customFormat="1" hidden="1">
      <c r="A71" s="44"/>
      <c r="B71" s="44"/>
      <c r="C71" s="44"/>
      <c r="D71" s="44"/>
      <c r="E71" s="44"/>
      <c r="F71" s="44"/>
      <c r="G71" s="44"/>
      <c r="H71" s="44"/>
      <c r="I71" s="44"/>
      <c r="J71" s="44"/>
      <c r="K71" s="44"/>
      <c r="L71" s="44"/>
      <c r="M71" s="44"/>
      <c r="N71" s="52"/>
      <c r="O71" s="52"/>
      <c r="P71" s="53"/>
      <c r="Q71" s="58"/>
      <c r="R71" s="44"/>
      <c r="S71" s="53"/>
      <c r="T71" s="58"/>
      <c r="U71" s="58"/>
      <c r="V71" s="44"/>
      <c r="W71" s="44"/>
      <c r="X71" s="44"/>
      <c r="Y71" s="44"/>
      <c r="Z71" s="44"/>
      <c r="AA71" s="44"/>
      <c r="AB71" s="44"/>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4" customFormat="1" ht="126" hidden="1">
      <c r="A83" s="43">
        <v>5</v>
      </c>
      <c r="B83" s="43" t="str">
        <f>B61</f>
        <v>成都卡乐福高分子材料股份有限公司</v>
      </c>
      <c r="C83" s="43" t="str">
        <f t="shared" ref="C83:G83" si="11">C61</f>
        <v>成都市市场监督管理局</v>
      </c>
      <c r="D83" s="43" t="str">
        <f t="shared" si="11"/>
        <v>91510121069778048Y</v>
      </c>
      <c r="E83" s="43" t="str">
        <f t="shared" si="11"/>
        <v>股份有限公司</v>
      </c>
      <c r="F83" s="43" t="str">
        <f t="shared" si="11"/>
        <v>金堂县淮口税务局</v>
      </c>
      <c r="G83" s="43" t="str">
        <f t="shared" si="11"/>
        <v>收款账号：511610018010210321008
开户行：交通银行成都双流棠湖支行</v>
      </c>
      <c r="H83" s="43"/>
      <c r="I83" s="43"/>
      <c r="J83" s="43"/>
      <c r="K83" s="43"/>
      <c r="L83" s="43"/>
      <c r="M83" s="43"/>
      <c r="N83" s="50"/>
      <c r="O83" s="50"/>
      <c r="P83" s="43"/>
      <c r="Q83" s="55">
        <f>SUM(Q84:Q104)</f>
        <v>0</v>
      </c>
      <c r="R83" s="43"/>
      <c r="S83" s="43"/>
      <c r="T83" s="43">
        <f>SUM(T84:T104)</f>
        <v>0</v>
      </c>
      <c r="U83" s="43"/>
      <c r="V83" s="50"/>
      <c r="W83" s="43"/>
      <c r="X83" s="64"/>
      <c r="Y83" s="43">
        <f>ROUNDUP(IF((O83-N83+1)*K83*X83/365&gt;R83,R83,(O83-N83+1)*K83*X83/365),2)</f>
        <v>0</v>
      </c>
      <c r="Z83" s="43"/>
      <c r="AA83" s="43"/>
      <c r="AB83" s="43"/>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52"/>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5" customFormat="1" hidden="1">
      <c r="A93" s="44"/>
      <c r="B93" s="44"/>
      <c r="C93" s="44"/>
      <c r="D93" s="44"/>
      <c r="E93" s="44"/>
      <c r="F93" s="44"/>
      <c r="G93" s="44"/>
      <c r="H93" s="44"/>
      <c r="I93" s="44"/>
      <c r="J93" s="44"/>
      <c r="K93" s="44"/>
      <c r="L93" s="44"/>
      <c r="M93" s="44"/>
      <c r="N93" s="52"/>
      <c r="O93" s="52"/>
      <c r="P93" s="53"/>
      <c r="Q93" s="58"/>
      <c r="R93" s="44"/>
      <c r="S93" s="53"/>
      <c r="T93" s="58"/>
      <c r="U93" s="58"/>
      <c r="V93" s="44"/>
      <c r="W93" s="44"/>
      <c r="X93" s="44"/>
      <c r="Y93" s="44"/>
      <c r="Z93" s="44"/>
      <c r="AA93" s="44"/>
      <c r="AB93" s="44"/>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4" customFormat="1">
      <c r="A105" s="43" t="s">
        <v>48</v>
      </c>
      <c r="B105" s="43"/>
      <c r="C105" s="43"/>
      <c r="D105" s="43"/>
      <c r="E105" s="43"/>
      <c r="F105" s="43"/>
      <c r="G105" s="43"/>
      <c r="H105" s="43"/>
      <c r="I105" s="43"/>
      <c r="J105" s="43"/>
      <c r="K105" s="43">
        <f>K83+K61+K39+K17++K4</f>
        <v>500</v>
      </c>
      <c r="L105" s="43"/>
      <c r="M105" s="43"/>
      <c r="N105" s="50"/>
      <c r="O105" s="50"/>
      <c r="P105" s="43"/>
      <c r="Q105" s="43"/>
      <c r="R105" s="43"/>
      <c r="S105" s="43"/>
      <c r="T105" s="43"/>
      <c r="U105" s="43"/>
      <c r="V105" s="43"/>
      <c r="W105" s="43"/>
      <c r="X105" s="43"/>
      <c r="Y105" s="43">
        <f>Y83+Y61+Y39+Y17++Y4</f>
        <v>7.45</v>
      </c>
      <c r="Z105" s="43"/>
      <c r="AA105" s="43"/>
      <c r="AB105" s="43"/>
    </row>
    <row r="106" spans="1:28">
      <c r="I106" s="36" t="s">
        <v>49</v>
      </c>
      <c r="K106" s="36">
        <f>IF(K105&gt;3000,K107,K105)</f>
        <v>500</v>
      </c>
    </row>
    <row r="107" spans="1:28" hidden="1">
      <c r="K107" s="36">
        <f>IF(K106&gt;3000,K108,K106)</f>
        <v>500</v>
      </c>
    </row>
  </sheetData>
  <autoFilter ref="A3:AC29" xr:uid="{00000000-0009-0000-0000-000086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AC117"/>
  <sheetViews>
    <sheetView topLeftCell="E1" workbookViewId="0">
      <pane ySplit="3" topLeftCell="A16" activePane="bottomLeft" state="frozen"/>
      <selection pane="bottomLeft" activeCell="Y5" sqref="Y5"/>
    </sheetView>
  </sheetViews>
  <sheetFormatPr defaultColWidth="9" defaultRowHeight="14"/>
  <cols>
    <col min="1" max="6" width="9" style="36"/>
    <col min="7" max="7" width="9" style="36" hidden="1" customWidth="1"/>
    <col min="8" max="12" width="9" style="36"/>
    <col min="13" max="13" width="12.33203125" style="36" customWidth="1"/>
    <col min="14" max="14" width="14.25" style="38" customWidth="1"/>
    <col min="15" max="15" width="15" style="38" customWidth="1"/>
    <col min="16" max="16" width="11.582031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四川沱江源药业有限公司审计明细表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727</v>
      </c>
      <c r="C4" s="43" t="s">
        <v>1275</v>
      </c>
      <c r="D4" s="43" t="s">
        <v>1276</v>
      </c>
      <c r="E4" s="43" t="s">
        <v>1277</v>
      </c>
      <c r="F4" s="43" t="s">
        <v>1256</v>
      </c>
      <c r="G4" s="43" t="s">
        <v>1229</v>
      </c>
      <c r="H4" s="43" t="s">
        <v>958</v>
      </c>
      <c r="I4" s="43" t="s">
        <v>1278</v>
      </c>
      <c r="J4" s="43" t="s">
        <v>1279</v>
      </c>
      <c r="K4" s="43">
        <v>170</v>
      </c>
      <c r="L4" s="43" t="s">
        <v>1280</v>
      </c>
      <c r="M4" s="152" t="s">
        <v>1281</v>
      </c>
      <c r="N4" s="65">
        <v>44844</v>
      </c>
      <c r="O4" s="65">
        <v>44989</v>
      </c>
      <c r="P4" s="43">
        <f>P10-N4</f>
        <v>145</v>
      </c>
      <c r="Q4" s="55">
        <f>SUM(Q5:Q26)</f>
        <v>2.56</v>
      </c>
      <c r="R4" s="55">
        <v>0.68</v>
      </c>
      <c r="S4" s="43"/>
      <c r="T4" s="55">
        <f>SUM(T5:T26)</f>
        <v>2.4900000000000002</v>
      </c>
      <c r="U4" s="56">
        <v>3.6499999999999998E-2</v>
      </c>
      <c r="V4" s="50"/>
      <c r="W4" s="43" t="s">
        <v>42</v>
      </c>
      <c r="X4" s="57">
        <v>0.01</v>
      </c>
      <c r="Y4" s="43">
        <f>ROUNDDOWN(IF((O4-N4+1)*K4*X4/365&gt;R4,R4,(O4-N4+1)*K4*X4/365),2)</f>
        <v>0.68</v>
      </c>
      <c r="Z4" s="55">
        <f>R4-Y4</f>
        <v>0</v>
      </c>
      <c r="AA4" s="55"/>
      <c r="AB4" s="43" t="s">
        <v>61</v>
      </c>
    </row>
    <row r="5" spans="1:29" s="35" customFormat="1" ht="28">
      <c r="A5" s="44"/>
      <c r="B5" s="44"/>
      <c r="C5" s="44"/>
      <c r="D5" s="44"/>
      <c r="E5" s="44"/>
      <c r="F5" s="44"/>
      <c r="G5" s="44"/>
      <c r="H5" s="44"/>
      <c r="I5" s="44"/>
      <c r="J5" s="44"/>
      <c r="K5" s="44"/>
      <c r="L5" s="44"/>
      <c r="M5" s="63" t="s">
        <v>1239</v>
      </c>
      <c r="N5" s="52"/>
      <c r="O5" s="52"/>
      <c r="P5" s="53">
        <v>44855</v>
      </c>
      <c r="Q5" s="58">
        <v>0.19</v>
      </c>
      <c r="R5" s="44"/>
      <c r="S5" s="53">
        <v>44855</v>
      </c>
      <c r="T5" s="58">
        <f>(S5-N4)/360*$U$4*$K$4</f>
        <v>0.19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44886</v>
      </c>
      <c r="Q6" s="58">
        <v>0.55000000000000004</v>
      </c>
      <c r="R6" s="44"/>
      <c r="S6" s="53">
        <v>44886</v>
      </c>
      <c r="T6" s="58">
        <f>(S6-S5)/360*$U$4*$K$4</f>
        <v>0.53</v>
      </c>
      <c r="U6" s="58">
        <f>T6-Q6</f>
        <v>-0.02</v>
      </c>
      <c r="V6" s="52"/>
      <c r="W6" s="44"/>
      <c r="X6" s="44"/>
      <c r="Y6" s="44"/>
      <c r="Z6" s="44"/>
      <c r="AA6" s="44"/>
      <c r="AB6" s="44"/>
    </row>
    <row r="7" spans="1:29" s="35" customFormat="1">
      <c r="A7" s="44"/>
      <c r="B7" s="44"/>
      <c r="C7" s="44"/>
      <c r="D7" s="44"/>
      <c r="E7" s="44"/>
      <c r="F7" s="44"/>
      <c r="G7" s="44"/>
      <c r="H7" s="44"/>
      <c r="I7" s="44"/>
      <c r="J7" s="44"/>
      <c r="K7" s="44"/>
      <c r="L7" s="44"/>
      <c r="M7" s="44"/>
      <c r="N7" s="52"/>
      <c r="O7" s="52"/>
      <c r="P7" s="53">
        <v>44916</v>
      </c>
      <c r="Q7" s="58">
        <v>0.53</v>
      </c>
      <c r="R7" s="44"/>
      <c r="S7" s="53">
        <v>44916</v>
      </c>
      <c r="T7" s="58">
        <f>(S7-S6)/360*$U$4*$K$4</f>
        <v>0.52</v>
      </c>
      <c r="U7" s="58">
        <f t="shared" ref="U7:U10" si="0">T7-Q7</f>
        <v>-0.01</v>
      </c>
      <c r="V7" s="44"/>
      <c r="W7" s="44"/>
      <c r="X7" s="44"/>
      <c r="Y7" s="44"/>
      <c r="Z7" s="44"/>
      <c r="AA7" s="44"/>
      <c r="AB7" s="44"/>
    </row>
    <row r="8" spans="1:29" s="35" customFormat="1">
      <c r="A8" s="44"/>
      <c r="B8" s="44"/>
      <c r="C8" s="44"/>
      <c r="D8" s="44"/>
      <c r="E8" s="44"/>
      <c r="F8" s="44"/>
      <c r="G8" s="44"/>
      <c r="H8" s="44"/>
      <c r="I8" s="44"/>
      <c r="J8" s="44"/>
      <c r="K8" s="44"/>
      <c r="L8" s="44"/>
      <c r="M8" s="44"/>
      <c r="N8" s="52"/>
      <c r="O8" s="53"/>
      <c r="P8" s="53">
        <v>44947</v>
      </c>
      <c r="Q8" s="58">
        <v>0.55000000000000004</v>
      </c>
      <c r="R8" s="44"/>
      <c r="S8" s="53">
        <v>44947</v>
      </c>
      <c r="T8" s="58">
        <f t="shared" ref="T8:T10" si="1">(S8-S7)/360*$U$4*$K$4</f>
        <v>0.53</v>
      </c>
      <c r="U8" s="58">
        <f t="shared" si="0"/>
        <v>-0.02</v>
      </c>
      <c r="V8" s="44"/>
      <c r="W8" s="44"/>
      <c r="X8" s="44"/>
      <c r="Y8" s="44"/>
      <c r="Z8" s="44"/>
      <c r="AA8" s="44"/>
      <c r="AB8" s="44"/>
    </row>
    <row r="9" spans="1:29" s="35" customFormat="1">
      <c r="A9" s="44"/>
      <c r="B9" s="44"/>
      <c r="C9" s="44"/>
      <c r="D9" s="44"/>
      <c r="E9" s="44"/>
      <c r="F9" s="44"/>
      <c r="G9" s="44"/>
      <c r="H9" s="44"/>
      <c r="I9" s="44"/>
      <c r="J9" s="44"/>
      <c r="K9" s="44"/>
      <c r="L9" s="44"/>
      <c r="M9" s="44"/>
      <c r="N9" s="52"/>
      <c r="O9" s="52"/>
      <c r="P9" s="53">
        <v>44978</v>
      </c>
      <c r="Q9" s="58">
        <v>0.55000000000000004</v>
      </c>
      <c r="R9" s="44"/>
      <c r="S9" s="53">
        <v>44978</v>
      </c>
      <c r="T9" s="58">
        <f t="shared" si="1"/>
        <v>0.53</v>
      </c>
      <c r="U9" s="58">
        <f t="shared" si="0"/>
        <v>-0.02</v>
      </c>
      <c r="V9" s="44"/>
      <c r="W9" s="44"/>
      <c r="X9" s="44"/>
      <c r="Y9" s="44"/>
      <c r="Z9" s="44"/>
      <c r="AA9" s="44"/>
      <c r="AB9" s="44"/>
    </row>
    <row r="10" spans="1:29" s="35" customFormat="1">
      <c r="A10" s="44"/>
      <c r="B10" s="44"/>
      <c r="C10" s="44"/>
      <c r="D10" s="44"/>
      <c r="E10" s="44"/>
      <c r="F10" s="44"/>
      <c r="G10" s="44"/>
      <c r="H10" s="44"/>
      <c r="I10" s="44"/>
      <c r="J10" s="44"/>
      <c r="K10" s="44"/>
      <c r="L10" s="44"/>
      <c r="M10" s="44"/>
      <c r="N10" s="52"/>
      <c r="O10" s="53"/>
      <c r="P10" s="53">
        <v>44989</v>
      </c>
      <c r="Q10" s="58">
        <v>0.19</v>
      </c>
      <c r="R10" s="44"/>
      <c r="S10" s="53">
        <v>44989</v>
      </c>
      <c r="T10" s="58">
        <f t="shared" si="1"/>
        <v>0.19</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四川沱江源药业有限公司</v>
      </c>
      <c r="C27" s="43" t="str">
        <f t="shared" ref="C27:G27" si="2">C4</f>
        <v>金堂县市场监督管理局</v>
      </c>
      <c r="D27" s="43" t="str">
        <f t="shared" si="2"/>
        <v>91510121394592829M</v>
      </c>
      <c r="E27" s="43" t="str">
        <f t="shared" si="2"/>
        <v>私企</v>
      </c>
      <c r="F27" s="43" t="str">
        <f t="shared" si="2"/>
        <v>金堂县税务局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四川沱江源药业有限公司</v>
      </c>
      <c r="C49" s="43" t="str">
        <f t="shared" ref="C49:G49" si="3">C27</f>
        <v>金堂县市场监督管理局</v>
      </c>
      <c r="D49" s="43" t="str">
        <f t="shared" si="3"/>
        <v>91510121394592829M</v>
      </c>
      <c r="E49" s="43" t="str">
        <f t="shared" si="3"/>
        <v>私企</v>
      </c>
      <c r="F49" s="43" t="str">
        <f t="shared" si="3"/>
        <v>金堂县税务局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四川沱江源药业有限公司</v>
      </c>
      <c r="C71" s="43" t="str">
        <f t="shared" ref="C71:G71" si="4">C49</f>
        <v>金堂县市场监督管理局</v>
      </c>
      <c r="D71" s="43" t="str">
        <f t="shared" si="4"/>
        <v>91510121394592829M</v>
      </c>
      <c r="E71" s="43" t="str">
        <f t="shared" si="4"/>
        <v>私企</v>
      </c>
      <c r="F71" s="43" t="str">
        <f t="shared" si="4"/>
        <v>金堂县税务局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四川沱江源药业有限公司</v>
      </c>
      <c r="C93" s="43" t="str">
        <f t="shared" ref="C93:G93" si="5">C71</f>
        <v>金堂县市场监督管理局</v>
      </c>
      <c r="D93" s="43" t="str">
        <f t="shared" si="5"/>
        <v>91510121394592829M</v>
      </c>
      <c r="E93" s="43" t="str">
        <f t="shared" si="5"/>
        <v>私企</v>
      </c>
      <c r="F93" s="43" t="str">
        <f t="shared" si="5"/>
        <v>金堂县税务局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170</v>
      </c>
      <c r="L115" s="43"/>
      <c r="M115" s="43"/>
      <c r="N115" s="50"/>
      <c r="O115" s="50"/>
      <c r="P115" s="43"/>
      <c r="Q115" s="43"/>
      <c r="R115" s="43"/>
      <c r="S115" s="43"/>
      <c r="T115" s="43"/>
      <c r="U115" s="43"/>
      <c r="V115" s="43"/>
      <c r="W115" s="43"/>
      <c r="X115" s="43"/>
      <c r="Y115" s="43">
        <f>Y93+Y71+Y49+Y27++Y4</f>
        <v>0.68</v>
      </c>
      <c r="Z115" s="43"/>
      <c r="AA115" s="43"/>
      <c r="AB115" s="43"/>
    </row>
    <row r="116" spans="1:28">
      <c r="I116" s="36" t="s">
        <v>49</v>
      </c>
      <c r="K116" s="36">
        <f>IF(K115&gt;3000,K117,K115)</f>
        <v>170</v>
      </c>
    </row>
    <row r="117" spans="1:28" hidden="1">
      <c r="K117" s="36">
        <f>IF(K116&gt;3000,K118,K116)</f>
        <v>170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AC117"/>
  <sheetViews>
    <sheetView topLeftCell="E1" workbookViewId="0">
      <pane ySplit="3" topLeftCell="A10" activePane="bottomLeft" state="frozen"/>
      <selection pane="bottomLeft" activeCell="Y5" sqref="Y5"/>
    </sheetView>
  </sheetViews>
  <sheetFormatPr defaultColWidth="9" defaultRowHeight="14"/>
  <cols>
    <col min="1" max="6" width="9" style="36"/>
    <col min="7" max="7" width="9" style="36" hidden="1" customWidth="1"/>
    <col min="8" max="12" width="9" style="36"/>
    <col min="13" max="13" width="12.33203125" style="36" customWidth="1"/>
    <col min="14" max="14" width="14.25" style="38" customWidth="1"/>
    <col min="15" max="15" width="15" style="38" customWidth="1"/>
    <col min="16" max="16" width="11.582031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四川长虹润天能源科技有限公司审计明细表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732</v>
      </c>
      <c r="C4" s="43" t="s">
        <v>1275</v>
      </c>
      <c r="D4" s="43" t="s">
        <v>1282</v>
      </c>
      <c r="E4" s="43" t="s">
        <v>1283</v>
      </c>
      <c r="F4" s="43" t="s">
        <v>1284</v>
      </c>
      <c r="G4" s="43" t="s">
        <v>1229</v>
      </c>
      <c r="H4" s="43" t="s">
        <v>71</v>
      </c>
      <c r="I4" s="43" t="s">
        <v>1285</v>
      </c>
      <c r="J4" s="43" t="s">
        <v>73</v>
      </c>
      <c r="K4" s="43">
        <v>1000</v>
      </c>
      <c r="L4" s="43" t="s">
        <v>1286</v>
      </c>
      <c r="M4" s="153" t="s">
        <v>1287</v>
      </c>
      <c r="N4" s="65">
        <v>44917</v>
      </c>
      <c r="O4" s="65">
        <v>45281</v>
      </c>
      <c r="P4" s="43">
        <f>P17-N4</f>
        <v>364</v>
      </c>
      <c r="Q4" s="55">
        <f>SUM(Q5:Q26)</f>
        <v>41.45</v>
      </c>
      <c r="R4" s="55">
        <v>15</v>
      </c>
      <c r="S4" s="43"/>
      <c r="T4" s="55">
        <f>SUM(T5:T26)</f>
        <v>41.46</v>
      </c>
      <c r="U4" s="56">
        <v>4.1000000000000002E-2</v>
      </c>
      <c r="V4" s="50"/>
      <c r="W4" s="43" t="s">
        <v>42</v>
      </c>
      <c r="X4" s="57">
        <v>1.4999999999999999E-2</v>
      </c>
      <c r="Y4" s="43">
        <f>ROUNDDOWN(IF((O4-N4+1)*K4*X4/365&gt;R4,R4,(O4-N4+1)*K4*X4/365),2)</f>
        <v>15</v>
      </c>
      <c r="Z4" s="55">
        <f>R4-Y4</f>
        <v>0</v>
      </c>
      <c r="AA4" s="55"/>
      <c r="AB4" s="43" t="s">
        <v>61</v>
      </c>
    </row>
    <row r="5" spans="1:29" s="35" customFormat="1">
      <c r="A5" s="44"/>
      <c r="B5" s="44"/>
      <c r="C5" s="44"/>
      <c r="D5" s="44"/>
      <c r="E5" s="44"/>
      <c r="F5" s="44"/>
      <c r="G5" s="44"/>
      <c r="H5" s="44"/>
      <c r="I5" s="44"/>
      <c r="J5" s="44"/>
      <c r="K5" s="44"/>
      <c r="L5" s="44"/>
      <c r="M5" s="63"/>
      <c r="N5" s="52"/>
      <c r="O5" s="52"/>
      <c r="P5" s="53">
        <v>44946</v>
      </c>
      <c r="Q5" s="58">
        <v>3.3</v>
      </c>
      <c r="R5" s="44"/>
      <c r="S5" s="53">
        <v>44946</v>
      </c>
      <c r="T5" s="58">
        <f>(S5-N4)/360*$U$4*$K$4</f>
        <v>3.3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3.53</v>
      </c>
      <c r="R6" s="44"/>
      <c r="S6" s="53">
        <v>44977</v>
      </c>
      <c r="T6" s="58">
        <f>(S6-S5)/360*$U$4*$K$4</f>
        <v>3.53</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2"/>
      <c r="P7" s="53">
        <v>45005</v>
      </c>
      <c r="Q7" s="58">
        <v>3.18</v>
      </c>
      <c r="R7" s="44"/>
      <c r="S7" s="53">
        <v>45005</v>
      </c>
      <c r="T7" s="58">
        <f>(S7-S6)/360*$U$4*$K$4</f>
        <v>3.19</v>
      </c>
      <c r="U7" s="58">
        <f t="shared" ref="U7:U17" si="0">T7-Q7</f>
        <v>0.01</v>
      </c>
      <c r="V7" s="44"/>
      <c r="W7" s="44"/>
      <c r="X7" s="44"/>
      <c r="Y7" s="44"/>
      <c r="Z7" s="44"/>
      <c r="AA7" s="44"/>
      <c r="AB7" s="44"/>
    </row>
    <row r="8" spans="1:29" s="35" customFormat="1">
      <c r="A8" s="44"/>
      <c r="B8" s="44"/>
      <c r="C8" s="44"/>
      <c r="D8" s="44"/>
      <c r="E8" s="44"/>
      <c r="F8" s="44"/>
      <c r="G8" s="44"/>
      <c r="H8" s="44"/>
      <c r="I8" s="44"/>
      <c r="J8" s="44"/>
      <c r="K8" s="44"/>
      <c r="L8" s="44"/>
      <c r="M8" s="44"/>
      <c r="N8" s="52"/>
      <c r="O8" s="53"/>
      <c r="P8" s="53">
        <v>45036</v>
      </c>
      <c r="Q8" s="58">
        <v>3.53</v>
      </c>
      <c r="R8" s="44"/>
      <c r="S8" s="53">
        <v>45036</v>
      </c>
      <c r="T8" s="58">
        <f t="shared" ref="T8:T17" si="1">(S8-S7)/360*$U$4*$K$4</f>
        <v>3.53</v>
      </c>
      <c r="U8" s="58">
        <f t="shared" si="0"/>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3.42</v>
      </c>
      <c r="R9" s="44"/>
      <c r="S9" s="53">
        <v>45066</v>
      </c>
      <c r="T9" s="58">
        <f t="shared" si="1"/>
        <v>3.42</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3"/>
      <c r="P10" s="53">
        <v>45097</v>
      </c>
      <c r="Q10" s="58">
        <v>3.53</v>
      </c>
      <c r="R10" s="44"/>
      <c r="S10" s="53">
        <v>45097</v>
      </c>
      <c r="T10" s="58">
        <f t="shared" si="1"/>
        <v>3.53</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3.42</v>
      </c>
      <c r="R11" s="44"/>
      <c r="S11" s="53">
        <v>45127</v>
      </c>
      <c r="T11" s="58">
        <f t="shared" si="1"/>
        <v>3.42</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3.53</v>
      </c>
      <c r="R12" s="44"/>
      <c r="S12" s="53">
        <v>45158</v>
      </c>
      <c r="T12" s="58">
        <f t="shared" si="1"/>
        <v>3.53</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3.53</v>
      </c>
      <c r="R13" s="44"/>
      <c r="S13" s="53">
        <v>45189</v>
      </c>
      <c r="T13" s="58">
        <f t="shared" si="1"/>
        <v>3.53</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3.42</v>
      </c>
      <c r="R14" s="44"/>
      <c r="S14" s="53">
        <v>45219</v>
      </c>
      <c r="T14" s="58">
        <f t="shared" si="1"/>
        <v>3.42</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3.53</v>
      </c>
      <c r="R15" s="44"/>
      <c r="S15" s="53">
        <v>45250</v>
      </c>
      <c r="T15" s="58">
        <f t="shared" si="1"/>
        <v>3.53</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45280</v>
      </c>
      <c r="Q16" s="58">
        <v>3.42</v>
      </c>
      <c r="R16" s="44"/>
      <c r="S16" s="53">
        <v>45280</v>
      </c>
      <c r="T16" s="58">
        <f t="shared" si="1"/>
        <v>3.42</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45281</v>
      </c>
      <c r="Q17" s="58">
        <v>0.11</v>
      </c>
      <c r="R17" s="44"/>
      <c r="S17" s="53">
        <v>45281</v>
      </c>
      <c r="T17" s="58">
        <f t="shared" si="1"/>
        <v>0.11</v>
      </c>
      <c r="U17" s="58">
        <f t="shared" si="0"/>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四川长虹润天能源科技有限公司</v>
      </c>
      <c r="C27" s="43" t="str">
        <f t="shared" ref="C27:G27" si="2">C4</f>
        <v>金堂县市场监督管理局</v>
      </c>
      <c r="D27" s="43" t="str">
        <f t="shared" si="2"/>
        <v>91510121MA6B25AP0L</v>
      </c>
      <c r="E27" s="43" t="str">
        <f t="shared" si="2"/>
        <v>国有控股</v>
      </c>
      <c r="F27" s="43" t="str">
        <f t="shared" si="2"/>
        <v>国家税务总局金堂税务局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四川长虹润天能源科技有限公司</v>
      </c>
      <c r="C49" s="43" t="str">
        <f t="shared" ref="C49:G49" si="3">C27</f>
        <v>金堂县市场监督管理局</v>
      </c>
      <c r="D49" s="43" t="str">
        <f t="shared" si="3"/>
        <v>91510121MA6B25AP0L</v>
      </c>
      <c r="E49" s="43" t="str">
        <f t="shared" si="3"/>
        <v>国有控股</v>
      </c>
      <c r="F49" s="43" t="str">
        <f t="shared" si="3"/>
        <v>国家税务总局金堂税务局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四川长虹润天能源科技有限公司</v>
      </c>
      <c r="C71" s="43" t="str">
        <f t="shared" ref="C71:G71" si="4">C49</f>
        <v>金堂县市场监督管理局</v>
      </c>
      <c r="D71" s="43" t="str">
        <f t="shared" si="4"/>
        <v>91510121MA6B25AP0L</v>
      </c>
      <c r="E71" s="43" t="str">
        <f t="shared" si="4"/>
        <v>国有控股</v>
      </c>
      <c r="F71" s="43" t="str">
        <f t="shared" si="4"/>
        <v>国家税务总局金堂税务局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四川长虹润天能源科技有限公司</v>
      </c>
      <c r="C93" s="43" t="str">
        <f t="shared" ref="C93:G93" si="5">C71</f>
        <v>金堂县市场监督管理局</v>
      </c>
      <c r="D93" s="43" t="str">
        <f t="shared" si="5"/>
        <v>91510121MA6B25AP0L</v>
      </c>
      <c r="E93" s="43" t="str">
        <f t="shared" si="5"/>
        <v>国有控股</v>
      </c>
      <c r="F93" s="43" t="str">
        <f t="shared" si="5"/>
        <v>国家税务总局金堂税务局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AC117"/>
  <sheetViews>
    <sheetView workbookViewId="0">
      <pane ySplit="3" topLeftCell="A4" activePane="bottomLeft" state="frozen"/>
      <selection pane="bottomLeft" activeCell="L7" sqref="L7"/>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成都英德生物医药设备有限公司审计明细表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677</v>
      </c>
      <c r="C4" s="43" t="s">
        <v>1288</v>
      </c>
      <c r="D4" s="49" t="s">
        <v>1289</v>
      </c>
      <c r="E4" s="43" t="s">
        <v>146</v>
      </c>
      <c r="F4" s="43" t="s">
        <v>1290</v>
      </c>
      <c r="G4" s="43" t="s">
        <v>1229</v>
      </c>
      <c r="H4" s="43" t="s">
        <v>71</v>
      </c>
      <c r="I4" s="43" t="s">
        <v>1291</v>
      </c>
      <c r="J4" s="43" t="s">
        <v>73</v>
      </c>
      <c r="K4" s="43">
        <v>1000</v>
      </c>
      <c r="L4" s="43" t="s">
        <v>1292</v>
      </c>
      <c r="M4" s="49" t="s">
        <v>1293</v>
      </c>
      <c r="N4" s="65">
        <v>45009</v>
      </c>
      <c r="O4" s="65">
        <v>45291</v>
      </c>
      <c r="P4" s="43">
        <f>P14-N4</f>
        <v>302</v>
      </c>
      <c r="Q4" s="55">
        <f>SUM(Q5:Q26)</f>
        <v>32.33</v>
      </c>
      <c r="R4" s="55">
        <v>15</v>
      </c>
      <c r="S4" s="43"/>
      <c r="T4" s="55">
        <f>SUM(T5:T26)</f>
        <v>32.33</v>
      </c>
      <c r="U4" s="56">
        <v>3.85E-2</v>
      </c>
      <c r="V4" s="50"/>
      <c r="W4" s="43" t="s">
        <v>42</v>
      </c>
      <c r="X4" s="57">
        <v>1.4999999999999999E-2</v>
      </c>
      <c r="Y4" s="43">
        <f>ROUNDDOWN(IF((O4-N4+1)*K4*X4/365&gt;R4,R4,(O4-N4+1)*K4*X4/365),2)</f>
        <v>11.63</v>
      </c>
      <c r="Z4" s="55">
        <f>R4-Y4</f>
        <v>3.37</v>
      </c>
      <c r="AA4" s="55" t="s">
        <v>1294</v>
      </c>
      <c r="AB4" s="43" t="s">
        <v>61</v>
      </c>
    </row>
    <row r="5" spans="1:29" s="35" customFormat="1">
      <c r="A5" s="44"/>
      <c r="B5" s="44"/>
      <c r="C5" s="44"/>
      <c r="D5" s="44"/>
      <c r="E5" s="44"/>
      <c r="F5" s="44"/>
      <c r="G5" s="44"/>
      <c r="H5" s="44"/>
      <c r="I5" s="44"/>
      <c r="J5" s="44"/>
      <c r="K5" s="44"/>
      <c r="L5" s="44"/>
      <c r="M5" s="63"/>
      <c r="N5" s="52"/>
      <c r="O5" s="52">
        <v>45374</v>
      </c>
      <c r="P5" s="53">
        <v>45036</v>
      </c>
      <c r="Q5" s="58">
        <v>2.8875000000000002</v>
      </c>
      <c r="R5" s="44"/>
      <c r="S5" s="53">
        <v>45036</v>
      </c>
      <c r="T5" s="58">
        <f>(S5-N4)/360*$U$4*$K$4</f>
        <v>2.89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45066</v>
      </c>
      <c r="Q6" s="58">
        <v>3.21</v>
      </c>
      <c r="R6" s="44"/>
      <c r="S6" s="53">
        <v>45066</v>
      </c>
      <c r="T6" s="58">
        <f>(S6-S5)/360*$U$4*$K$4</f>
        <v>3.21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45097</v>
      </c>
      <c r="Q7" s="58">
        <v>3.32</v>
      </c>
      <c r="R7" s="44"/>
      <c r="S7" s="53">
        <v>45097</v>
      </c>
      <c r="T7" s="58">
        <f>(S7-S6)*$K$4*$U$4/360</f>
        <v>3.32</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45127</v>
      </c>
      <c r="Q8" s="58">
        <v>3.21</v>
      </c>
      <c r="R8" s="44"/>
      <c r="S8" s="53">
        <v>45127</v>
      </c>
      <c r="T8" s="58">
        <f t="shared" ref="T8:T14" si="0">(S8-S7)*$K$4*$U$4/360</f>
        <v>3.21</v>
      </c>
      <c r="U8" s="58">
        <f t="shared" ref="U8:U14"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45158</v>
      </c>
      <c r="Q9" s="58">
        <v>3.32</v>
      </c>
      <c r="R9" s="44"/>
      <c r="S9" s="53">
        <v>45158</v>
      </c>
      <c r="T9" s="58">
        <f t="shared" si="0"/>
        <v>3.32</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45189</v>
      </c>
      <c r="Q10" s="58">
        <v>3.32</v>
      </c>
      <c r="R10" s="44"/>
      <c r="S10" s="53">
        <v>45189</v>
      </c>
      <c r="T10" s="58">
        <f t="shared" si="0"/>
        <v>3.32</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45219</v>
      </c>
      <c r="Q11" s="58">
        <v>3.21</v>
      </c>
      <c r="R11" s="44"/>
      <c r="S11" s="53">
        <v>45219</v>
      </c>
      <c r="T11" s="58">
        <f t="shared" si="0"/>
        <v>3.21</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45250</v>
      </c>
      <c r="Q12" s="58">
        <v>3.32</v>
      </c>
      <c r="R12" s="44"/>
      <c r="S12" s="53">
        <v>45250</v>
      </c>
      <c r="T12" s="58">
        <f t="shared" si="0"/>
        <v>3.32</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45280</v>
      </c>
      <c r="Q13" s="58">
        <v>3.21</v>
      </c>
      <c r="R13" s="44"/>
      <c r="S13" s="53">
        <v>45280</v>
      </c>
      <c r="T13" s="58">
        <f t="shared" si="0"/>
        <v>3.21</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45311</v>
      </c>
      <c r="Q14" s="58">
        <v>3.32</v>
      </c>
      <c r="R14" s="44"/>
      <c r="S14" s="53">
        <v>45311</v>
      </c>
      <c r="T14" s="58">
        <f t="shared" si="0"/>
        <v>3.32</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成都英德生物医药设备有限公司</v>
      </c>
      <c r="C27" s="43" t="str">
        <f t="shared" ref="C27:G27" si="2">C4</f>
        <v>龙泉驿区行政审批局</v>
      </c>
      <c r="D27" s="43" t="str">
        <f t="shared" si="2"/>
        <v>91510112777488922H</v>
      </c>
      <c r="E27" s="43" t="str">
        <f t="shared" si="2"/>
        <v>有限责任公司</v>
      </c>
      <c r="F27" s="43" t="str">
        <f t="shared" si="2"/>
        <v>龙泉驿区税务局</v>
      </c>
      <c r="G27" s="43" t="str">
        <f t="shared" si="2"/>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成都英德生物医药设备有限公司</v>
      </c>
      <c r="C49" s="43" t="str">
        <f t="shared" ref="C49:G49" si="3">C27</f>
        <v>龙泉驿区行政审批局</v>
      </c>
      <c r="D49" s="43" t="str">
        <f t="shared" si="3"/>
        <v>91510112777488922H</v>
      </c>
      <c r="E49" s="43" t="str">
        <f t="shared" si="3"/>
        <v>有限责任公司</v>
      </c>
      <c r="F49" s="43" t="str">
        <f t="shared" si="3"/>
        <v>龙泉驿区税务局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成都英德生物医药设备有限公司</v>
      </c>
      <c r="C71" s="43" t="str">
        <f t="shared" ref="C71:G71" si="4">C49</f>
        <v>龙泉驿区行政审批局</v>
      </c>
      <c r="D71" s="43" t="str">
        <f t="shared" si="4"/>
        <v>91510112777488922H</v>
      </c>
      <c r="E71" s="43" t="str">
        <f t="shared" si="4"/>
        <v>有限责任公司</v>
      </c>
      <c r="F71" s="43" t="str">
        <f t="shared" si="4"/>
        <v>龙泉驿区税务局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成都英德生物医药设备有限公司</v>
      </c>
      <c r="C93" s="43" t="str">
        <f t="shared" ref="C93:G93" si="5">C71</f>
        <v>龙泉驿区行政审批局</v>
      </c>
      <c r="D93" s="43" t="str">
        <f t="shared" si="5"/>
        <v>91510112777488922H</v>
      </c>
      <c r="E93" s="43" t="str">
        <f t="shared" si="5"/>
        <v>有限责任公司</v>
      </c>
      <c r="F93" s="43" t="str">
        <f t="shared" si="5"/>
        <v>龙泉驿区税务局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11.63</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成都旭光科技股份有限公司审计明细表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675</v>
      </c>
      <c r="C4" s="43" t="s">
        <v>52</v>
      </c>
      <c r="D4" s="49" t="s">
        <v>1295</v>
      </c>
      <c r="E4" s="43" t="s">
        <v>1283</v>
      </c>
      <c r="F4" s="43" t="s">
        <v>1290</v>
      </c>
      <c r="G4" s="43" t="s">
        <v>1229</v>
      </c>
      <c r="H4" s="43" t="s">
        <v>156</v>
      </c>
      <c r="I4" s="43" t="s">
        <v>1296</v>
      </c>
      <c r="J4" s="43" t="s">
        <v>73</v>
      </c>
      <c r="K4" s="43">
        <v>2000</v>
      </c>
      <c r="L4" s="43" t="s">
        <v>1297</v>
      </c>
      <c r="M4" s="49" t="s">
        <v>1298</v>
      </c>
      <c r="N4" s="65">
        <v>44985</v>
      </c>
      <c r="O4" s="65">
        <v>45291</v>
      </c>
      <c r="P4" s="43">
        <f>P17-N4</f>
        <v>364</v>
      </c>
      <c r="Q4" s="55">
        <f>SUM(Q5:Q26)</f>
        <v>78.23</v>
      </c>
      <c r="R4" s="55">
        <v>33.64</v>
      </c>
      <c r="S4" s="43"/>
      <c r="T4" s="55">
        <f>SUM(T5:T26)</f>
        <v>78.89</v>
      </c>
      <c r="U4" s="56">
        <v>3.9E-2</v>
      </c>
      <c r="V4" s="50"/>
      <c r="W4" s="43" t="s">
        <v>42</v>
      </c>
      <c r="X4" s="57">
        <v>0.02</v>
      </c>
      <c r="Y4" s="43">
        <f>ROUNDDOWN(IF((O4-N4+1)*K4*X4/365&gt;R4,R4,(O4-N4+1)*K4*X4/365),2)</f>
        <v>33.64</v>
      </c>
      <c r="Z4" s="55">
        <f>R4-Y4</f>
        <v>0</v>
      </c>
      <c r="AA4" s="55"/>
      <c r="AB4" s="43" t="s">
        <v>61</v>
      </c>
    </row>
    <row r="5" spans="1:29" s="35" customFormat="1" ht="84">
      <c r="A5" s="44"/>
      <c r="B5" s="44"/>
      <c r="C5" s="44"/>
      <c r="D5" s="44"/>
      <c r="E5" s="44"/>
      <c r="F5" s="44"/>
      <c r="G5" s="44"/>
      <c r="H5" s="44"/>
      <c r="I5" s="44" t="s">
        <v>1299</v>
      </c>
      <c r="J5" s="44"/>
      <c r="K5" s="44"/>
      <c r="L5" s="44"/>
      <c r="M5" s="63"/>
      <c r="N5" s="52"/>
      <c r="O5" s="52">
        <v>45349</v>
      </c>
      <c r="P5" s="53">
        <v>45005</v>
      </c>
      <c r="Q5" s="58">
        <v>4.33</v>
      </c>
      <c r="R5" s="44"/>
      <c r="S5" s="53">
        <v>45005</v>
      </c>
      <c r="T5" s="58">
        <f>(S5-N4)/360*$U$4*$K$4</f>
        <v>4.33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45036</v>
      </c>
      <c r="Q6" s="58">
        <v>6.72</v>
      </c>
      <c r="R6" s="44"/>
      <c r="S6" s="53">
        <v>45036</v>
      </c>
      <c r="T6" s="58">
        <f>(S6-S5)/360*$U$4*$K$4</f>
        <v>6.72</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45066</v>
      </c>
      <c r="Q7" s="58">
        <v>6.5</v>
      </c>
      <c r="R7" s="44"/>
      <c r="S7" s="53">
        <v>45066</v>
      </c>
      <c r="T7" s="58">
        <f>(S7-S6)*$K$4*$U$4/360</f>
        <v>6.5</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45097</v>
      </c>
      <c r="Q8" s="58">
        <v>6.72</v>
      </c>
      <c r="R8" s="44"/>
      <c r="S8" s="53">
        <v>45097</v>
      </c>
      <c r="T8" s="58">
        <f t="shared" ref="T8:T17" si="0">(S8-S7)*$K$4*$U$4/360</f>
        <v>6.72</v>
      </c>
      <c r="U8" s="58">
        <f t="shared" ref="U8:U17"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45127</v>
      </c>
      <c r="Q9" s="58">
        <v>6.5</v>
      </c>
      <c r="R9" s="44"/>
      <c r="S9" s="53">
        <v>45127</v>
      </c>
      <c r="T9" s="58">
        <f t="shared" si="0"/>
        <v>6.5</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45158</v>
      </c>
      <c r="Q10" s="58">
        <v>6.72</v>
      </c>
      <c r="R10" s="44"/>
      <c r="S10" s="53">
        <v>45158</v>
      </c>
      <c r="T10" s="58">
        <f t="shared" si="0"/>
        <v>6.72</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45189</v>
      </c>
      <c r="Q11" s="58">
        <v>6.72</v>
      </c>
      <c r="R11" s="44"/>
      <c r="S11" s="53">
        <v>45189</v>
      </c>
      <c r="T11" s="58">
        <f t="shared" si="0"/>
        <v>6.72</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45219</v>
      </c>
      <c r="Q12" s="58">
        <v>6.5</v>
      </c>
      <c r="R12" s="44"/>
      <c r="S12" s="53">
        <v>45219</v>
      </c>
      <c r="T12" s="58">
        <f t="shared" si="0"/>
        <v>6.5</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45250</v>
      </c>
      <c r="Q13" s="58">
        <v>6.72</v>
      </c>
      <c r="R13" s="44"/>
      <c r="S13" s="53">
        <v>45250</v>
      </c>
      <c r="T13" s="58">
        <f t="shared" si="0"/>
        <v>6.72</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45280</v>
      </c>
      <c r="Q14" s="58">
        <v>6.5</v>
      </c>
      <c r="R14" s="44"/>
      <c r="S14" s="53">
        <v>45280</v>
      </c>
      <c r="T14" s="58">
        <f t="shared" si="0"/>
        <v>6.5</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45311</v>
      </c>
      <c r="Q15" s="58">
        <v>6.5</v>
      </c>
      <c r="R15" s="44"/>
      <c r="S15" s="53">
        <v>45311</v>
      </c>
      <c r="T15" s="58">
        <f t="shared" si="0"/>
        <v>6.72</v>
      </c>
      <c r="U15" s="58">
        <f t="shared" si="1"/>
        <v>0.22</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45342</v>
      </c>
      <c r="Q16" s="58">
        <v>6.37</v>
      </c>
      <c r="R16" s="44"/>
      <c r="S16" s="53">
        <v>45342</v>
      </c>
      <c r="T16" s="58">
        <f t="shared" si="0"/>
        <v>6.72</v>
      </c>
      <c r="U16" s="58">
        <f t="shared" si="1"/>
        <v>0.35</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45349</v>
      </c>
      <c r="Q17" s="58">
        <v>1.43</v>
      </c>
      <c r="R17" s="44"/>
      <c r="S17" s="53">
        <v>45349</v>
      </c>
      <c r="T17" s="58">
        <f t="shared" si="0"/>
        <v>1.52</v>
      </c>
      <c r="U17" s="58">
        <f t="shared" si="1"/>
        <v>0.09</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成都旭光科技股份有限公司</v>
      </c>
      <c r="C27" s="43" t="str">
        <f t="shared" ref="C27:G27" si="2">C4</f>
        <v>成都市市场监督管理局</v>
      </c>
      <c r="D27" s="43" t="str">
        <f t="shared" si="2"/>
        <v>915101002022363373</v>
      </c>
      <c r="E27" s="43" t="str">
        <f t="shared" si="2"/>
        <v>国有控股</v>
      </c>
      <c r="F27" s="43" t="str">
        <f t="shared" si="2"/>
        <v>龙泉驿区税务局</v>
      </c>
      <c r="G27" s="43" t="str">
        <f t="shared" si="2"/>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成都旭光科技股份有限公司</v>
      </c>
      <c r="C49" s="43" t="str">
        <f t="shared" ref="C49:G49" si="3">C27</f>
        <v>成都市市场监督管理局</v>
      </c>
      <c r="D49" s="43" t="str">
        <f t="shared" si="3"/>
        <v>915101002022363373</v>
      </c>
      <c r="E49" s="43" t="str">
        <f t="shared" si="3"/>
        <v>国有控股</v>
      </c>
      <c r="F49" s="43" t="str">
        <f t="shared" si="3"/>
        <v>龙泉驿区税务局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成都旭光科技股份有限公司</v>
      </c>
      <c r="C71" s="43" t="str">
        <f t="shared" ref="C71:G71" si="4">C49</f>
        <v>成都市市场监督管理局</v>
      </c>
      <c r="D71" s="43" t="str">
        <f t="shared" si="4"/>
        <v>915101002022363373</v>
      </c>
      <c r="E71" s="43" t="str">
        <f t="shared" si="4"/>
        <v>国有控股</v>
      </c>
      <c r="F71" s="43" t="str">
        <f t="shared" si="4"/>
        <v>龙泉驿区税务局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成都旭光科技股份有限公司</v>
      </c>
      <c r="C93" s="43" t="str">
        <f t="shared" ref="C93:G93" si="5">C71</f>
        <v>成都市市场监督管理局</v>
      </c>
      <c r="D93" s="43" t="str">
        <f t="shared" si="5"/>
        <v>915101002022363373</v>
      </c>
      <c r="E93" s="43" t="str">
        <f t="shared" si="5"/>
        <v>国有控股</v>
      </c>
      <c r="F93" s="43" t="str">
        <f t="shared" si="5"/>
        <v>龙泉驿区税务局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2000</v>
      </c>
      <c r="L115" s="43"/>
      <c r="M115" s="43"/>
      <c r="N115" s="50"/>
      <c r="O115" s="50"/>
      <c r="P115" s="43"/>
      <c r="Q115" s="43"/>
      <c r="R115" s="43"/>
      <c r="S115" s="43"/>
      <c r="T115" s="43"/>
      <c r="U115" s="43"/>
      <c r="V115" s="43"/>
      <c r="W115" s="43"/>
      <c r="X115" s="43"/>
      <c r="Y115" s="43">
        <f>Y93+Y71+Y49+Y27++Y4</f>
        <v>33.64</v>
      </c>
      <c r="Z115" s="43"/>
      <c r="AA115" s="43"/>
      <c r="AB115" s="43"/>
    </row>
    <row r="116" spans="1:28">
      <c r="I116" s="36" t="s">
        <v>49</v>
      </c>
      <c r="K116" s="36">
        <f>IF(K115&gt;3000,K117,K115)</f>
        <v>2000</v>
      </c>
    </row>
    <row r="117" spans="1:28" hidden="1">
      <c r="K117" s="36">
        <f>IF(K116&gt;3000,K118,K116)</f>
        <v>2000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116"/>
  <sheetViews>
    <sheetView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成都锐成芯微科技股份有限公司审计明细表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179</v>
      </c>
      <c r="C4" s="9" t="s">
        <v>52</v>
      </c>
      <c r="D4" s="20" t="s">
        <v>180</v>
      </c>
      <c r="E4" s="9" t="s">
        <v>181</v>
      </c>
      <c r="F4" s="9" t="s">
        <v>35</v>
      </c>
      <c r="G4" s="9" t="s">
        <v>182</v>
      </c>
      <c r="H4" s="9" t="s">
        <v>71</v>
      </c>
      <c r="I4" s="9" t="s">
        <v>57</v>
      </c>
      <c r="J4" s="9" t="s">
        <v>109</v>
      </c>
      <c r="K4" s="9">
        <v>550</v>
      </c>
      <c r="L4" s="9" t="s">
        <v>183</v>
      </c>
      <c r="M4" s="20" t="s">
        <v>184</v>
      </c>
      <c r="N4" s="16">
        <v>45019</v>
      </c>
      <c r="O4" s="16">
        <v>45291</v>
      </c>
      <c r="P4" s="9">
        <f>P9-N4</f>
        <v>365</v>
      </c>
      <c r="Q4" s="22">
        <f>SUM(Q5:Q25)</f>
        <v>16.79</v>
      </c>
      <c r="R4" s="22">
        <v>6.17</v>
      </c>
      <c r="S4" s="9"/>
      <c r="T4" s="22">
        <f>SUM(T5:T25)</f>
        <v>16.77</v>
      </c>
      <c r="U4" s="23">
        <v>3.0099999999999998E-2</v>
      </c>
      <c r="V4" s="16"/>
      <c r="W4" s="9" t="s">
        <v>42</v>
      </c>
      <c r="X4" s="24">
        <v>1.4999999999999999E-2</v>
      </c>
      <c r="Y4" s="9">
        <f>ROUNDDOWN(IF((O4-N4+1)*K4*X4/365&gt;R4,R4,(O4-N4+1)*K4*X4/365),2)</f>
        <v>6.17</v>
      </c>
      <c r="Z4" s="22">
        <f>R4-Y4</f>
        <v>0</v>
      </c>
      <c r="AA4" s="22"/>
      <c r="AB4" s="9" t="s">
        <v>61</v>
      </c>
      <c r="AD4" s="28">
        <f>(O4-N4+1)*K4*X4/365</f>
        <v>6.1704999999999997</v>
      </c>
    </row>
    <row r="5" spans="1:30" s="2" customFormat="1">
      <c r="A5" s="10"/>
      <c r="B5" s="10"/>
      <c r="C5" s="10"/>
      <c r="D5" s="10"/>
      <c r="E5" s="10"/>
      <c r="F5" s="10"/>
      <c r="G5" s="10"/>
      <c r="H5" s="10"/>
      <c r="I5" s="10"/>
      <c r="J5" s="10"/>
      <c r="K5" s="10"/>
      <c r="L5" s="10"/>
      <c r="M5" s="17"/>
      <c r="N5" s="18"/>
      <c r="O5" s="16">
        <v>45384</v>
      </c>
      <c r="P5" s="19">
        <v>45098</v>
      </c>
      <c r="Q5" s="25">
        <v>3.63</v>
      </c>
      <c r="R5" s="10"/>
      <c r="S5" s="19">
        <f>P5</f>
        <v>45098</v>
      </c>
      <c r="T5" s="25">
        <f>(S5-N4)/360*$U$4*$K$4</f>
        <v>3.63</v>
      </c>
      <c r="U5" s="25">
        <f>T5-Q5</f>
        <v>0</v>
      </c>
      <c r="V5" s="18"/>
      <c r="W5" s="10"/>
      <c r="X5" s="10"/>
      <c r="Y5" s="10">
        <f>ROUNDDOWN((V5-N4)*K4*X4/365,2)</f>
        <v>-1017.55</v>
      </c>
      <c r="Z5" s="10"/>
      <c r="AA5" s="10"/>
      <c r="AB5" s="10"/>
    </row>
    <row r="6" spans="1:30" s="2" customFormat="1">
      <c r="A6" s="10"/>
      <c r="B6" s="10"/>
      <c r="C6" s="10"/>
      <c r="D6" s="10"/>
      <c r="E6" s="10"/>
      <c r="F6" s="10"/>
      <c r="G6" s="10"/>
      <c r="H6" s="10"/>
      <c r="I6" s="10"/>
      <c r="J6" s="10"/>
      <c r="K6" s="10"/>
      <c r="L6" s="10"/>
      <c r="M6" s="17"/>
      <c r="N6" s="18"/>
      <c r="O6" s="18"/>
      <c r="P6" s="19">
        <v>45190</v>
      </c>
      <c r="Q6" s="25">
        <v>4.2300000000000004</v>
      </c>
      <c r="R6" s="10"/>
      <c r="S6" s="19">
        <f t="shared" ref="S6:S9" si="0">P6</f>
        <v>45190</v>
      </c>
      <c r="T6" s="25">
        <f>(S6-S5)*$K$4*$U$4/360</f>
        <v>4.2300000000000004</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45281</v>
      </c>
      <c r="Q7" s="25">
        <v>4.1900000000000004</v>
      </c>
      <c r="R7" s="10"/>
      <c r="S7" s="19">
        <f t="shared" si="0"/>
        <v>45281</v>
      </c>
      <c r="T7" s="25">
        <f t="shared" ref="T7:T9" si="1">(S7-S6)*$K$4*$U$4/360</f>
        <v>4.18</v>
      </c>
      <c r="U7" s="25">
        <f t="shared" ref="U7:U9" si="2">T7-Q7</f>
        <v>-0.01</v>
      </c>
      <c r="V7" s="10"/>
      <c r="W7" s="10"/>
      <c r="X7" s="10"/>
      <c r="Y7" s="10"/>
      <c r="Z7" s="10"/>
      <c r="AA7" s="10"/>
      <c r="AB7" s="10"/>
    </row>
    <row r="8" spans="1:30" s="2" customFormat="1">
      <c r="A8" s="10"/>
      <c r="B8" s="10"/>
      <c r="C8" s="10"/>
      <c r="D8" s="10"/>
      <c r="E8" s="10"/>
      <c r="F8" s="10"/>
      <c r="G8" s="10"/>
      <c r="H8" s="10"/>
      <c r="I8" s="10"/>
      <c r="J8" s="10"/>
      <c r="K8" s="10"/>
      <c r="L8" s="10"/>
      <c r="M8" s="17"/>
      <c r="N8" s="18"/>
      <c r="O8" s="18"/>
      <c r="P8" s="19">
        <v>45372</v>
      </c>
      <c r="Q8" s="25">
        <v>4.1900000000000004</v>
      </c>
      <c r="R8" s="10"/>
      <c r="S8" s="19">
        <f t="shared" si="0"/>
        <v>45372</v>
      </c>
      <c r="T8" s="25">
        <f t="shared" si="1"/>
        <v>4.18</v>
      </c>
      <c r="U8" s="25">
        <f t="shared" si="2"/>
        <v>-0.01</v>
      </c>
      <c r="V8" s="10"/>
      <c r="W8" s="10"/>
      <c r="X8" s="10"/>
      <c r="Y8" s="10"/>
      <c r="Z8" s="10"/>
      <c r="AA8" s="10"/>
      <c r="AB8" s="10"/>
    </row>
    <row r="9" spans="1:30" s="2" customFormat="1">
      <c r="A9" s="10"/>
      <c r="B9" s="10"/>
      <c r="C9" s="10"/>
      <c r="D9" s="10"/>
      <c r="E9" s="10"/>
      <c r="F9" s="10"/>
      <c r="G9" s="10"/>
      <c r="H9" s="10"/>
      <c r="I9" s="10"/>
      <c r="J9" s="10"/>
      <c r="K9" s="10"/>
      <c r="L9" s="10"/>
      <c r="M9" s="17"/>
      <c r="N9" s="18"/>
      <c r="O9" s="18"/>
      <c r="P9" s="19">
        <v>45384</v>
      </c>
      <c r="Q9" s="25">
        <v>0.55000000000000004</v>
      </c>
      <c r="R9" s="10"/>
      <c r="S9" s="19">
        <f t="shared" si="0"/>
        <v>45384</v>
      </c>
      <c r="T9" s="25">
        <f t="shared" si="1"/>
        <v>0.55000000000000004</v>
      </c>
      <c r="U9" s="25">
        <f t="shared" si="2"/>
        <v>0</v>
      </c>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成都锐成芯微科技股份有限公司</v>
      </c>
      <c r="C26" s="9" t="str">
        <f t="shared" ref="C26:G26" si="3">C4</f>
        <v>成都市市场监督管理局</v>
      </c>
      <c r="D26" s="9" t="str">
        <f t="shared" si="3"/>
        <v>915101005875590800</v>
      </c>
      <c r="E26" s="9" t="str">
        <f t="shared" si="3"/>
        <v>民营股份有限公司</v>
      </c>
      <c r="F26" s="9" t="str">
        <f t="shared" si="3"/>
        <v>国家税务总局成都高新技术产业开发区税务局</v>
      </c>
      <c r="G26" s="9" t="str">
        <f t="shared" si="3"/>
        <v>中国工商银行股份有限公司成都草市支行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成都锐成芯微科技股份有限公司</v>
      </c>
      <c r="C48" s="9" t="str">
        <f t="shared" ref="C48:G48" si="7">C26</f>
        <v>成都市市场监督管理局</v>
      </c>
      <c r="D48" s="9" t="str">
        <f t="shared" si="7"/>
        <v>915101005875590800</v>
      </c>
      <c r="E48" s="9" t="str">
        <f t="shared" si="7"/>
        <v>民营股份有限公司</v>
      </c>
      <c r="F48" s="9" t="str">
        <f t="shared" si="7"/>
        <v>国家税务总局成都高新技术产业开发区税务局</v>
      </c>
      <c r="G48" s="9" t="str">
        <f t="shared" si="7"/>
        <v>中国工商银行股份有限公司成都草市支行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成都锐成芯微科技股份有限公司</v>
      </c>
      <c r="C70" s="9" t="str">
        <f t="shared" ref="C70:G70" si="10">C48</f>
        <v>成都市市场监督管理局</v>
      </c>
      <c r="D70" s="9" t="str">
        <f t="shared" si="10"/>
        <v>915101005875590800</v>
      </c>
      <c r="E70" s="9" t="str">
        <f t="shared" si="10"/>
        <v>民营股份有限公司</v>
      </c>
      <c r="F70" s="9" t="str">
        <f t="shared" si="10"/>
        <v>国家税务总局成都高新技术产业开发区税务局</v>
      </c>
      <c r="G70" s="9" t="str">
        <f t="shared" si="10"/>
        <v>中国工商银行股份有限公司成都草市支行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成都锐成芯微科技股份有限公司</v>
      </c>
      <c r="C92" s="9" t="str">
        <f t="shared" ref="C92:G92" si="11">C70</f>
        <v>成都市市场监督管理局</v>
      </c>
      <c r="D92" s="9" t="str">
        <f t="shared" si="11"/>
        <v>915101005875590800</v>
      </c>
      <c r="E92" s="9" t="str">
        <f t="shared" si="11"/>
        <v>民营股份有限公司</v>
      </c>
      <c r="F92" s="9" t="str">
        <f t="shared" si="11"/>
        <v>国家税务总局成都高新技术产业开发区税务局</v>
      </c>
      <c r="G92" s="9" t="str">
        <f t="shared" si="11"/>
        <v>中国工商银行股份有限公司成都草市支行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550</v>
      </c>
      <c r="L114" s="9"/>
      <c r="M114" s="20"/>
      <c r="N114" s="16"/>
      <c r="O114" s="16"/>
      <c r="P114" s="9"/>
      <c r="Q114" s="9"/>
      <c r="R114" s="9">
        <f>R92+R70+R48+R26++R4</f>
        <v>6.17</v>
      </c>
      <c r="S114" s="9"/>
      <c r="T114" s="9"/>
      <c r="U114" s="9"/>
      <c r="V114" s="9"/>
      <c r="W114" s="9"/>
      <c r="X114" s="9"/>
      <c r="Y114" s="9">
        <f>Y92+Y70+Y48+Y26++Y4</f>
        <v>6.17</v>
      </c>
      <c r="Z114" s="9"/>
      <c r="AA114" s="9"/>
      <c r="AB114" s="9"/>
    </row>
    <row r="115" spans="1:28">
      <c r="I115" t="s">
        <v>49</v>
      </c>
      <c r="K115">
        <f>IF(K114&gt;3000,K116,K114)</f>
        <v>550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AD129"/>
  <sheetViews>
    <sheetView topLeftCell="M1" zoomScale="80" zoomScaleNormal="80" workbookViewId="0">
      <pane ySplit="3" topLeftCell="A4" activePane="bottomLeft" state="frozen"/>
      <selection pane="bottomLeft" activeCell="N4" sqref="N4:AB4"/>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10.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成都国信中联汽车服务有限公司(曾用命：成都国信中联投资管理有限公司）审计明细表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215.15" customHeight="1">
      <c r="A4" s="43">
        <v>1</v>
      </c>
      <c r="B4" s="43" t="s">
        <v>1300</v>
      </c>
      <c r="C4" s="43" t="s">
        <v>1005</v>
      </c>
      <c r="D4" s="43" t="s">
        <v>1301</v>
      </c>
      <c r="E4" s="43" t="s">
        <v>146</v>
      </c>
      <c r="F4" s="43" t="s">
        <v>1008</v>
      </c>
      <c r="G4" s="43" t="s">
        <v>1302</v>
      </c>
      <c r="H4" s="87" t="s">
        <v>71</v>
      </c>
      <c r="I4" s="43" t="s">
        <v>1303</v>
      </c>
      <c r="J4" s="43" t="s">
        <v>84</v>
      </c>
      <c r="K4" s="43">
        <v>1000</v>
      </c>
      <c r="L4" s="43" t="s">
        <v>1304</v>
      </c>
      <c r="M4" s="49" t="s">
        <v>1305</v>
      </c>
      <c r="N4" s="50">
        <v>45000</v>
      </c>
      <c r="O4" s="50">
        <v>45281</v>
      </c>
      <c r="P4" s="43">
        <f>P14-N4</f>
        <v>281</v>
      </c>
      <c r="Q4" s="55">
        <f>SUM(Q5:Q25)</f>
        <v>26.64</v>
      </c>
      <c r="R4" s="55">
        <v>11.55</v>
      </c>
      <c r="S4" s="43"/>
      <c r="T4" s="55">
        <f>SUM(T5:T25)</f>
        <v>35.89</v>
      </c>
      <c r="U4" s="56">
        <v>4.5999999999999999E-2</v>
      </c>
      <c r="V4" s="50"/>
      <c r="W4" s="43" t="s">
        <v>1306</v>
      </c>
      <c r="X4" s="88">
        <v>1.4999999999999999E-2</v>
      </c>
      <c r="Y4" s="43">
        <f>SUM(Y5:Y14)</f>
        <v>9.34</v>
      </c>
      <c r="Z4" s="55">
        <f>R4-Y4</f>
        <v>2.21</v>
      </c>
      <c r="AA4" s="55" t="s">
        <v>108</v>
      </c>
      <c r="AB4" s="43" t="s">
        <v>1307</v>
      </c>
      <c r="AD4" s="61">
        <f>(O4-N4+1)*K4*X4/365</f>
        <v>11.589</v>
      </c>
    </row>
    <row r="5" spans="1:30" s="35" customFormat="1">
      <c r="A5" s="44"/>
      <c r="B5" s="44"/>
      <c r="C5" s="44"/>
      <c r="D5" s="44"/>
      <c r="E5" s="44"/>
      <c r="F5" s="44"/>
      <c r="G5" s="44"/>
      <c r="H5" s="44"/>
      <c r="I5" s="44"/>
      <c r="J5" s="44"/>
      <c r="K5" s="44"/>
      <c r="L5" s="44"/>
      <c r="M5" s="51"/>
      <c r="N5" s="52"/>
      <c r="O5" s="52"/>
      <c r="P5" s="75">
        <v>45006</v>
      </c>
      <c r="Q5" s="58">
        <v>0.77</v>
      </c>
      <c r="R5" s="44"/>
      <c r="S5" s="53">
        <f t="shared" ref="S5:S14" si="0">P5</f>
        <v>45006</v>
      </c>
      <c r="T5" s="58">
        <f>(S5-N4)/360*$U$4*$K$4</f>
        <v>0.77</v>
      </c>
      <c r="U5" s="58">
        <f t="shared" ref="U5:U14" si="1">T5-Q5</f>
        <v>0</v>
      </c>
      <c r="V5" s="52">
        <v>45006</v>
      </c>
      <c r="W5" s="58">
        <v>381905.03</v>
      </c>
      <c r="X5" s="42"/>
      <c r="Y5" s="44">
        <v>0.28000000000000003</v>
      </c>
      <c r="Z5" s="44"/>
      <c r="AA5" s="44"/>
      <c r="AB5" s="44"/>
    </row>
    <row r="6" spans="1:30" s="35" customFormat="1">
      <c r="A6" s="44"/>
      <c r="B6" s="44"/>
      <c r="C6" s="44"/>
      <c r="D6" s="44"/>
      <c r="E6" s="44"/>
      <c r="F6" s="44"/>
      <c r="G6" s="44"/>
      <c r="H6" s="44"/>
      <c r="I6" s="44"/>
      <c r="J6" s="44"/>
      <c r="K6" s="44"/>
      <c r="L6" s="44"/>
      <c r="M6" s="51"/>
      <c r="N6" s="52"/>
      <c r="O6" s="52"/>
      <c r="P6" s="75">
        <v>45037</v>
      </c>
      <c r="Q6" s="58">
        <v>0.51</v>
      </c>
      <c r="R6" s="44"/>
      <c r="S6" s="53">
        <f t="shared" si="0"/>
        <v>45037</v>
      </c>
      <c r="T6" s="58">
        <f>(S6-S5)*$K$4*$U$4/360</f>
        <v>3.96</v>
      </c>
      <c r="U6" s="58">
        <f t="shared" si="1"/>
        <v>3.45</v>
      </c>
      <c r="V6" s="75">
        <v>45037</v>
      </c>
      <c r="W6" s="58">
        <v>383368.99</v>
      </c>
      <c r="X6" s="42"/>
      <c r="Y6" s="44">
        <v>1.22</v>
      </c>
      <c r="Z6" s="44"/>
      <c r="AA6" s="44"/>
      <c r="AB6" s="44"/>
    </row>
    <row r="7" spans="1:30" s="35" customFormat="1">
      <c r="A7" s="44"/>
      <c r="B7" s="44"/>
      <c r="C7" s="44"/>
      <c r="D7" s="44"/>
      <c r="E7" s="44"/>
      <c r="F7" s="44"/>
      <c r="G7" s="44"/>
      <c r="H7" s="44"/>
      <c r="I7" s="44"/>
      <c r="J7" s="44"/>
      <c r="K7" s="44"/>
      <c r="L7" s="44"/>
      <c r="M7" s="51"/>
      <c r="N7" s="52"/>
      <c r="O7" s="52"/>
      <c r="P7" s="75">
        <v>45067</v>
      </c>
      <c r="Q7" s="58">
        <v>3.69</v>
      </c>
      <c r="R7" s="44"/>
      <c r="S7" s="53">
        <f t="shared" si="0"/>
        <v>45067</v>
      </c>
      <c r="T7" s="58">
        <f t="shared" ref="T7:T14" si="2">(S7-S6)*$K$4*$U$4/360</f>
        <v>3.83</v>
      </c>
      <c r="U7" s="58">
        <f t="shared" si="1"/>
        <v>0.14000000000000001</v>
      </c>
      <c r="V7" s="75">
        <v>45067</v>
      </c>
      <c r="W7" s="58">
        <v>384838.57</v>
      </c>
      <c r="X7" s="42"/>
      <c r="Y7" s="44">
        <v>1.1299999999999999</v>
      </c>
      <c r="Z7" s="44"/>
      <c r="AA7" s="44"/>
      <c r="AB7" s="44"/>
    </row>
    <row r="8" spans="1:30" s="35" customFormat="1">
      <c r="A8" s="44"/>
      <c r="B8" s="44"/>
      <c r="C8" s="44"/>
      <c r="D8" s="44"/>
      <c r="E8" s="44"/>
      <c r="F8" s="44"/>
      <c r="G8" s="44"/>
      <c r="H8" s="44"/>
      <c r="I8" s="44"/>
      <c r="J8" s="44"/>
      <c r="K8" s="44"/>
      <c r="L8" s="44"/>
      <c r="M8" s="51"/>
      <c r="N8" s="52"/>
      <c r="O8" s="52"/>
      <c r="P8" s="75">
        <v>45098</v>
      </c>
      <c r="Q8" s="58">
        <v>3.54</v>
      </c>
      <c r="R8" s="44"/>
      <c r="S8" s="53">
        <f t="shared" si="0"/>
        <v>45098</v>
      </c>
      <c r="T8" s="58">
        <f t="shared" si="2"/>
        <v>3.96</v>
      </c>
      <c r="U8" s="58">
        <f t="shared" si="1"/>
        <v>0.42</v>
      </c>
      <c r="V8" s="75">
        <v>45098</v>
      </c>
      <c r="W8" s="58">
        <v>386313.78</v>
      </c>
      <c r="X8" s="42"/>
      <c r="Y8" s="44">
        <v>1.1200000000000001</v>
      </c>
      <c r="Z8" s="44"/>
      <c r="AA8" s="44"/>
      <c r="AB8" s="44"/>
    </row>
    <row r="9" spans="1:30" s="35" customFormat="1">
      <c r="A9" s="44"/>
      <c r="B9" s="44"/>
      <c r="C9" s="44"/>
      <c r="D9" s="44"/>
      <c r="E9" s="44"/>
      <c r="F9" s="44"/>
      <c r="G9" s="44"/>
      <c r="H9" s="44"/>
      <c r="I9" s="44"/>
      <c r="J9" s="44"/>
      <c r="K9" s="44"/>
      <c r="L9" s="44"/>
      <c r="M9" s="51"/>
      <c r="N9" s="52"/>
      <c r="O9" s="52"/>
      <c r="P9" s="75">
        <v>45128</v>
      </c>
      <c r="Q9" s="58">
        <v>3.39</v>
      </c>
      <c r="R9" s="44"/>
      <c r="S9" s="53">
        <f t="shared" si="0"/>
        <v>45128</v>
      </c>
      <c r="T9" s="58">
        <f t="shared" si="2"/>
        <v>3.83</v>
      </c>
      <c r="U9" s="58">
        <f t="shared" si="1"/>
        <v>0.44</v>
      </c>
      <c r="V9" s="75">
        <v>45128</v>
      </c>
      <c r="W9" s="58">
        <v>387794.65</v>
      </c>
      <c r="X9" s="42"/>
      <c r="Y9" s="44">
        <v>1.04</v>
      </c>
      <c r="Z9" s="44"/>
      <c r="AA9" s="44"/>
      <c r="AB9" s="44"/>
    </row>
    <row r="10" spans="1:30" s="35" customFormat="1">
      <c r="A10" s="44"/>
      <c r="B10" s="44"/>
      <c r="C10" s="44"/>
      <c r="D10" s="44"/>
      <c r="E10" s="44"/>
      <c r="F10" s="44"/>
      <c r="G10" s="44"/>
      <c r="H10" s="44"/>
      <c r="I10" s="44"/>
      <c r="J10" s="44"/>
      <c r="K10" s="44"/>
      <c r="L10" s="44"/>
      <c r="M10" s="51"/>
      <c r="N10" s="52"/>
      <c r="O10" s="52"/>
      <c r="P10" s="75">
        <v>45159</v>
      </c>
      <c r="Q10" s="58">
        <v>3.24</v>
      </c>
      <c r="R10" s="44"/>
      <c r="S10" s="53">
        <f t="shared" si="0"/>
        <v>45159</v>
      </c>
      <c r="T10" s="58">
        <f t="shared" si="2"/>
        <v>3.96</v>
      </c>
      <c r="U10" s="58">
        <f t="shared" si="1"/>
        <v>0.72</v>
      </c>
      <c r="V10" s="75">
        <v>45159</v>
      </c>
      <c r="W10" s="58">
        <v>389281.2</v>
      </c>
      <c r="X10" s="42"/>
      <c r="Y10" s="44">
        <v>1.02</v>
      </c>
      <c r="Z10" s="44"/>
      <c r="AA10" s="44"/>
      <c r="AB10" s="44"/>
    </row>
    <row r="11" spans="1:30" s="35" customFormat="1">
      <c r="A11" s="44"/>
      <c r="B11" s="44"/>
      <c r="C11" s="44"/>
      <c r="D11" s="44"/>
      <c r="E11" s="44"/>
      <c r="F11" s="44"/>
      <c r="G11" s="44"/>
      <c r="H11" s="44"/>
      <c r="I11" s="44"/>
      <c r="J11" s="44"/>
      <c r="K11" s="44"/>
      <c r="L11" s="44"/>
      <c r="M11" s="51"/>
      <c r="N11" s="52"/>
      <c r="O11" s="52"/>
      <c r="P11" s="75">
        <v>45190</v>
      </c>
      <c r="Q11" s="58">
        <v>3.1</v>
      </c>
      <c r="R11" s="44"/>
      <c r="S11" s="53">
        <f t="shared" si="0"/>
        <v>45190</v>
      </c>
      <c r="T11" s="58">
        <f t="shared" si="2"/>
        <v>3.96</v>
      </c>
      <c r="U11" s="58">
        <f t="shared" si="1"/>
        <v>0.86</v>
      </c>
      <c r="V11" s="75">
        <v>45190</v>
      </c>
      <c r="W11" s="58">
        <v>390773.44</v>
      </c>
      <c r="X11" s="42"/>
      <c r="Y11" s="44">
        <v>0.97</v>
      </c>
      <c r="Z11" s="44"/>
      <c r="AA11" s="44"/>
      <c r="AB11" s="44"/>
    </row>
    <row r="12" spans="1:30" s="35" customFormat="1">
      <c r="A12" s="44"/>
      <c r="B12" s="44"/>
      <c r="C12" s="44"/>
      <c r="D12" s="44"/>
      <c r="E12" s="44"/>
      <c r="F12" s="44"/>
      <c r="G12" s="44"/>
      <c r="H12" s="44"/>
      <c r="I12" s="44"/>
      <c r="J12" s="44"/>
      <c r="K12" s="44"/>
      <c r="L12" s="44"/>
      <c r="M12" s="51"/>
      <c r="N12" s="52"/>
      <c r="O12" s="52"/>
      <c r="P12" s="75">
        <v>45220</v>
      </c>
      <c r="Q12" s="58">
        <v>2.95</v>
      </c>
      <c r="R12" s="44"/>
      <c r="S12" s="53">
        <f t="shared" si="0"/>
        <v>45220</v>
      </c>
      <c r="T12" s="58">
        <f t="shared" si="2"/>
        <v>3.83</v>
      </c>
      <c r="U12" s="58">
        <f t="shared" si="1"/>
        <v>0.88</v>
      </c>
      <c r="V12" s="75">
        <v>45220</v>
      </c>
      <c r="W12" s="58">
        <v>392271.41</v>
      </c>
      <c r="X12" s="42"/>
      <c r="Y12" s="44">
        <v>0.89</v>
      </c>
      <c r="Z12" s="44"/>
      <c r="AA12" s="44"/>
      <c r="AB12" s="44"/>
    </row>
    <row r="13" spans="1:30" s="35" customFormat="1">
      <c r="A13" s="44"/>
      <c r="B13" s="44"/>
      <c r="C13" s="44"/>
      <c r="D13" s="44"/>
      <c r="E13" s="44"/>
      <c r="F13" s="44"/>
      <c r="G13" s="44"/>
      <c r="H13" s="44"/>
      <c r="I13" s="44"/>
      <c r="J13" s="44"/>
      <c r="K13" s="44"/>
      <c r="L13" s="44"/>
      <c r="M13" s="51"/>
      <c r="N13" s="52"/>
      <c r="O13" s="52"/>
      <c r="P13" s="75">
        <v>45251</v>
      </c>
      <c r="Q13" s="58">
        <v>2.8</v>
      </c>
      <c r="R13" s="44"/>
      <c r="S13" s="53">
        <f t="shared" si="0"/>
        <v>45251</v>
      </c>
      <c r="T13" s="58">
        <f t="shared" si="2"/>
        <v>3.96</v>
      </c>
      <c r="U13" s="58">
        <f t="shared" si="1"/>
        <v>1.1599999999999999</v>
      </c>
      <c r="V13" s="75">
        <v>45251</v>
      </c>
      <c r="W13" s="58">
        <v>393775.11</v>
      </c>
      <c r="X13" s="42"/>
      <c r="Y13" s="44">
        <v>0.87</v>
      </c>
      <c r="Z13" s="44"/>
      <c r="AA13" s="44"/>
      <c r="AB13" s="44"/>
    </row>
    <row r="14" spans="1:30" s="35" customFormat="1">
      <c r="A14" s="44"/>
      <c r="B14" s="44"/>
      <c r="C14" s="44"/>
      <c r="D14" s="44"/>
      <c r="E14" s="44"/>
      <c r="F14" s="44"/>
      <c r="G14" s="44"/>
      <c r="H14" s="44"/>
      <c r="I14" s="44"/>
      <c r="J14" s="44"/>
      <c r="K14" s="44"/>
      <c r="L14" s="44"/>
      <c r="M14" s="51"/>
      <c r="N14" s="52"/>
      <c r="O14" s="52"/>
      <c r="P14" s="75">
        <v>45281</v>
      </c>
      <c r="Q14" s="58">
        <v>2.65</v>
      </c>
      <c r="R14" s="44"/>
      <c r="S14" s="53">
        <f t="shared" si="0"/>
        <v>45281</v>
      </c>
      <c r="T14" s="58">
        <f t="shared" si="2"/>
        <v>3.83</v>
      </c>
      <c r="U14" s="58">
        <f t="shared" si="1"/>
        <v>1.18</v>
      </c>
      <c r="V14" s="75">
        <v>45281</v>
      </c>
      <c r="W14" s="58">
        <v>395284.58</v>
      </c>
      <c r="X14" s="42"/>
      <c r="Y14" s="44">
        <v>0.8</v>
      </c>
      <c r="Z14" s="44"/>
      <c r="AA14" s="44"/>
      <c r="AB14" s="44"/>
    </row>
    <row r="15" spans="1:30" s="35" customFormat="1" hidden="1">
      <c r="A15" s="44"/>
      <c r="B15" s="44"/>
      <c r="C15" s="44"/>
      <c r="D15" s="44"/>
      <c r="E15" s="44"/>
      <c r="F15" s="44"/>
      <c r="G15" s="44"/>
      <c r="H15" s="44"/>
      <c r="I15" s="44"/>
      <c r="J15" s="44"/>
      <c r="K15" s="44"/>
      <c r="L15" s="44"/>
      <c r="M15" s="51"/>
      <c r="N15" s="52"/>
      <c r="O15" s="52"/>
      <c r="P15" s="75"/>
      <c r="Q15" s="58"/>
      <c r="R15" s="44"/>
      <c r="S15" s="53"/>
      <c r="T15" s="58"/>
      <c r="U15" s="58"/>
      <c r="V15" s="44"/>
      <c r="W15" s="44"/>
      <c r="X15" s="42"/>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44"/>
      <c r="S16" s="53"/>
      <c r="T16" s="58"/>
      <c r="U16" s="58"/>
      <c r="V16" s="44"/>
      <c r="W16" s="44"/>
      <c r="X16" s="42"/>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2"/>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3">B26</f>
        <v>0</v>
      </c>
      <c r="C48" s="43">
        <f t="shared" si="3"/>
        <v>0</v>
      </c>
      <c r="D48" s="43">
        <f t="shared" si="3"/>
        <v>0</v>
      </c>
      <c r="E48" s="43">
        <f t="shared" si="3"/>
        <v>0</v>
      </c>
      <c r="F48" s="43">
        <f t="shared" si="3"/>
        <v>0</v>
      </c>
      <c r="G48" s="43">
        <f t="shared" si="3"/>
        <v>0</v>
      </c>
      <c r="H48" s="43" t="s">
        <v>65</v>
      </c>
      <c r="I48" s="43" t="s">
        <v>57</v>
      </c>
      <c r="J48" s="43" t="s">
        <v>66</v>
      </c>
      <c r="K48" s="43"/>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4">B48</f>
        <v>0</v>
      </c>
      <c r="C70" s="43">
        <f t="shared" si="4"/>
        <v>0</v>
      </c>
      <c r="D70" s="43">
        <f t="shared" si="4"/>
        <v>0</v>
      </c>
      <c r="E70" s="43">
        <f t="shared" si="4"/>
        <v>0</v>
      </c>
      <c r="F70" s="43">
        <f t="shared" si="4"/>
        <v>0</v>
      </c>
      <c r="G70" s="43">
        <f t="shared" si="4"/>
        <v>0</v>
      </c>
      <c r="H70" s="43"/>
      <c r="I70" s="43"/>
      <c r="J70" s="43"/>
      <c r="K70" s="43"/>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5">B70</f>
        <v>0</v>
      </c>
      <c r="C92" s="43">
        <f t="shared" si="5"/>
        <v>0</v>
      </c>
      <c r="D92" s="43">
        <f t="shared" si="5"/>
        <v>0</v>
      </c>
      <c r="E92" s="43">
        <f t="shared" si="5"/>
        <v>0</v>
      </c>
      <c r="F92" s="43">
        <f t="shared" si="5"/>
        <v>0</v>
      </c>
      <c r="G92" s="43">
        <f t="shared" si="5"/>
        <v>0</v>
      </c>
      <c r="H92" s="43"/>
      <c r="I92" s="43"/>
      <c r="J92" s="43"/>
      <c r="K92" s="43"/>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11.55</v>
      </c>
      <c r="S114" s="43"/>
      <c r="T114" s="43"/>
      <c r="U114" s="43"/>
      <c r="V114" s="43"/>
      <c r="W114" s="43"/>
      <c r="X114" s="71"/>
      <c r="Y114" s="43">
        <f>Y92+Y70+Y48+Y26++Y4</f>
        <v>9.34</v>
      </c>
      <c r="Z114" s="43"/>
      <c r="AA114" s="43"/>
      <c r="AB114" s="43"/>
    </row>
    <row r="115" spans="1:28">
      <c r="I115" s="36" t="s">
        <v>49</v>
      </c>
      <c r="K115" s="36">
        <f>IF(K114&gt;3000,K116,K114)</f>
        <v>1000</v>
      </c>
    </row>
    <row r="116" spans="1:28">
      <c r="K116" s="36" t="s">
        <v>50</v>
      </c>
    </row>
    <row r="118" spans="1:28">
      <c r="P118" s="89"/>
      <c r="Q118" s="89" t="s">
        <v>1308</v>
      </c>
      <c r="R118" s="89" t="s">
        <v>1309</v>
      </c>
      <c r="S118" s="89"/>
      <c r="T118" s="89" t="s">
        <v>1309</v>
      </c>
      <c r="U118" s="89" t="s">
        <v>25</v>
      </c>
    </row>
    <row r="119" spans="1:28">
      <c r="P119" s="90">
        <v>45006</v>
      </c>
      <c r="Q119" s="91">
        <v>381905.03</v>
      </c>
      <c r="R119" s="92">
        <v>45000</v>
      </c>
      <c r="S119" s="90">
        <f t="shared" ref="S119:S128" si="6">P119</f>
        <v>45006</v>
      </c>
      <c r="T119">
        <v>10000000</v>
      </c>
      <c r="U119">
        <f t="shared" ref="U119:U128" si="7">ROUNDDOWN(T119*(S119-R119+1)/365*1.5%/10000,2)</f>
        <v>0.28000000000000003</v>
      </c>
    </row>
    <row r="120" spans="1:28">
      <c r="P120" s="90">
        <v>45037</v>
      </c>
      <c r="Q120" s="91">
        <v>383368.99</v>
      </c>
      <c r="R120" s="92">
        <f t="shared" ref="R120:R128" si="8">S119+1</f>
        <v>45007</v>
      </c>
      <c r="S120" s="92">
        <f t="shared" si="6"/>
        <v>45037</v>
      </c>
      <c r="T120">
        <f t="shared" ref="T120:T128" si="9">T119-Q120</f>
        <v>9616631.0099999998</v>
      </c>
      <c r="U120">
        <f t="shared" si="7"/>
        <v>1.22</v>
      </c>
    </row>
    <row r="121" spans="1:28">
      <c r="P121" s="90">
        <v>45067</v>
      </c>
      <c r="Q121" s="91">
        <v>384838.57</v>
      </c>
      <c r="R121" s="92">
        <f t="shared" si="8"/>
        <v>45038</v>
      </c>
      <c r="S121" s="92">
        <f t="shared" si="6"/>
        <v>45067</v>
      </c>
      <c r="T121">
        <f t="shared" si="9"/>
        <v>9231792.4399999995</v>
      </c>
      <c r="U121">
        <f t="shared" si="7"/>
        <v>1.1299999999999999</v>
      </c>
    </row>
    <row r="122" spans="1:28">
      <c r="P122" s="90">
        <v>45098</v>
      </c>
      <c r="Q122" s="91">
        <v>386313.78</v>
      </c>
      <c r="R122" s="92">
        <f t="shared" si="8"/>
        <v>45068</v>
      </c>
      <c r="S122" s="92">
        <f t="shared" si="6"/>
        <v>45098</v>
      </c>
      <c r="T122">
        <f t="shared" si="9"/>
        <v>8845478.6600000001</v>
      </c>
      <c r="U122">
        <f t="shared" si="7"/>
        <v>1.1200000000000001</v>
      </c>
    </row>
    <row r="123" spans="1:28">
      <c r="P123" s="90">
        <v>45128</v>
      </c>
      <c r="Q123" s="91">
        <v>387794.65</v>
      </c>
      <c r="R123" s="92">
        <f t="shared" si="8"/>
        <v>45099</v>
      </c>
      <c r="S123" s="92">
        <f t="shared" si="6"/>
        <v>45128</v>
      </c>
      <c r="T123">
        <f t="shared" si="9"/>
        <v>8457684.0099999998</v>
      </c>
      <c r="U123">
        <f t="shared" si="7"/>
        <v>1.04</v>
      </c>
    </row>
    <row r="124" spans="1:28">
      <c r="P124" s="90">
        <v>45159</v>
      </c>
      <c r="Q124" s="91">
        <v>389281.2</v>
      </c>
      <c r="R124" s="92">
        <f t="shared" si="8"/>
        <v>45129</v>
      </c>
      <c r="S124" s="92">
        <f t="shared" si="6"/>
        <v>45159</v>
      </c>
      <c r="T124">
        <f t="shared" si="9"/>
        <v>8068402.8099999996</v>
      </c>
      <c r="U124">
        <f t="shared" si="7"/>
        <v>1.02</v>
      </c>
    </row>
    <row r="125" spans="1:28">
      <c r="P125" s="90">
        <v>45190</v>
      </c>
      <c r="Q125" s="91">
        <v>390773.44</v>
      </c>
      <c r="R125" s="92">
        <f t="shared" si="8"/>
        <v>45160</v>
      </c>
      <c r="S125" s="92">
        <f t="shared" si="6"/>
        <v>45190</v>
      </c>
      <c r="T125">
        <f t="shared" si="9"/>
        <v>7677629.3700000001</v>
      </c>
      <c r="U125">
        <f t="shared" si="7"/>
        <v>0.97</v>
      </c>
    </row>
    <row r="126" spans="1:28">
      <c r="P126" s="90">
        <v>45220</v>
      </c>
      <c r="Q126" s="91">
        <v>392271.41</v>
      </c>
      <c r="R126" s="92">
        <f t="shared" si="8"/>
        <v>45191</v>
      </c>
      <c r="S126" s="92">
        <f t="shared" si="6"/>
        <v>45220</v>
      </c>
      <c r="T126">
        <f t="shared" si="9"/>
        <v>7285357.96</v>
      </c>
      <c r="U126">
        <f t="shared" si="7"/>
        <v>0.89</v>
      </c>
    </row>
    <row r="127" spans="1:28">
      <c r="P127" s="90">
        <v>45251</v>
      </c>
      <c r="Q127" s="91">
        <v>393775.11</v>
      </c>
      <c r="R127" s="92">
        <f t="shared" si="8"/>
        <v>45221</v>
      </c>
      <c r="S127" s="92">
        <f t="shared" si="6"/>
        <v>45251</v>
      </c>
      <c r="T127">
        <f t="shared" si="9"/>
        <v>6891582.8499999996</v>
      </c>
      <c r="U127">
        <f t="shared" si="7"/>
        <v>0.87</v>
      </c>
    </row>
    <row r="128" spans="1:28">
      <c r="P128" s="90">
        <v>45281</v>
      </c>
      <c r="Q128" s="91">
        <v>395284.58</v>
      </c>
      <c r="R128" s="92">
        <f t="shared" si="8"/>
        <v>45252</v>
      </c>
      <c r="S128" s="92">
        <f t="shared" si="6"/>
        <v>45281</v>
      </c>
      <c r="T128">
        <f t="shared" si="9"/>
        <v>6496298.2699999996</v>
      </c>
      <c r="U128">
        <f t="shared" si="7"/>
        <v>0.8</v>
      </c>
    </row>
    <row r="129" spans="16:21">
      <c r="P129"/>
      <c r="Q129">
        <f>SUM(Q119:Q128)</f>
        <v>3885606.76</v>
      </c>
      <c r="R129"/>
      <c r="S129"/>
      <c r="T129"/>
      <c r="U129">
        <f>SUM(U119:U128)</f>
        <v>9.34</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AC117"/>
  <sheetViews>
    <sheetView workbookViewId="0">
      <pane ySplit="3" topLeftCell="A4" activePane="bottomLeft" state="frozen"/>
      <selection pane="bottomLeft" activeCell="Y6" sqref="Y6"/>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成都世润汽车部件有限公司审计明细表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652</v>
      </c>
      <c r="C4" s="43" t="s">
        <v>1310</v>
      </c>
      <c r="D4" s="49" t="s">
        <v>1311</v>
      </c>
      <c r="E4" s="43" t="s">
        <v>121</v>
      </c>
      <c r="F4" s="43" t="s">
        <v>1312</v>
      </c>
      <c r="G4" s="43" t="s">
        <v>1229</v>
      </c>
      <c r="H4" s="43" t="s">
        <v>71</v>
      </c>
      <c r="I4" s="43" t="s">
        <v>1313</v>
      </c>
      <c r="J4" s="43" t="s">
        <v>294</v>
      </c>
      <c r="K4" s="43">
        <v>500</v>
      </c>
      <c r="L4" s="43" t="s">
        <v>1297</v>
      </c>
      <c r="M4" s="49" t="s">
        <v>1298</v>
      </c>
      <c r="N4" s="65">
        <v>44944</v>
      </c>
      <c r="O4" s="65">
        <v>45291</v>
      </c>
      <c r="P4" s="43">
        <f>P20-N4</f>
        <v>458</v>
      </c>
      <c r="Q4" s="55">
        <f>SUM(Q5:Q26)</f>
        <v>25.39</v>
      </c>
      <c r="R4" s="55">
        <v>7.15</v>
      </c>
      <c r="S4" s="43"/>
      <c r="T4" s="55">
        <f>SUM(T5:T26)</f>
        <v>26.59</v>
      </c>
      <c r="U4" s="56">
        <v>4.1799999999999997E-2</v>
      </c>
      <c r="V4" s="50"/>
      <c r="W4" s="43" t="s">
        <v>1314</v>
      </c>
      <c r="X4" s="57">
        <v>1.4999999999999999E-2</v>
      </c>
      <c r="Y4" s="43">
        <v>6.94</v>
      </c>
      <c r="Z4" s="55">
        <f>R4-Y4</f>
        <v>0.21</v>
      </c>
      <c r="AA4" s="55" t="s">
        <v>108</v>
      </c>
      <c r="AB4" s="43" t="s">
        <v>61</v>
      </c>
    </row>
    <row r="5" spans="1:29" s="35" customFormat="1">
      <c r="A5" s="44"/>
      <c r="B5" s="44"/>
      <c r="C5" s="44"/>
      <c r="D5" s="44"/>
      <c r="E5" s="44"/>
      <c r="F5" s="44"/>
      <c r="G5" s="44"/>
      <c r="H5" s="44"/>
      <c r="I5" s="44"/>
      <c r="J5" s="44"/>
      <c r="K5" s="44"/>
      <c r="L5" s="44"/>
      <c r="M5" s="63"/>
      <c r="N5" s="52"/>
      <c r="O5" s="52">
        <v>45674</v>
      </c>
      <c r="P5" s="53">
        <v>44946</v>
      </c>
      <c r="Q5" s="58">
        <v>0.1</v>
      </c>
      <c r="R5" s="44"/>
      <c r="S5" s="53">
        <v>44946</v>
      </c>
      <c r="T5" s="58">
        <f>(S5-N4)/360*$U$4*$K$4</f>
        <v>0.12</v>
      </c>
      <c r="U5" s="58">
        <f>T5-Q5</f>
        <v>0.02</v>
      </c>
      <c r="V5" s="52">
        <v>45116</v>
      </c>
      <c r="W5" s="44">
        <v>25</v>
      </c>
      <c r="X5" s="44"/>
      <c r="Y5" s="62">
        <f>ROUNDDOWN((V5-N4)*K4*X4/365,2)</f>
        <v>3.53</v>
      </c>
      <c r="Z5" s="44"/>
      <c r="AA5" s="44"/>
      <c r="AB5" s="44"/>
    </row>
    <row r="6" spans="1:29" s="35" customFormat="1">
      <c r="A6" s="44"/>
      <c r="B6" s="44"/>
      <c r="C6" s="44"/>
      <c r="D6" s="44"/>
      <c r="E6" s="44"/>
      <c r="F6" s="44"/>
      <c r="G6" s="44"/>
      <c r="H6" s="44"/>
      <c r="I6" s="44"/>
      <c r="J6" s="44"/>
      <c r="K6" s="44"/>
      <c r="L6" s="44"/>
      <c r="M6" s="63"/>
      <c r="N6" s="52"/>
      <c r="O6" s="53"/>
      <c r="P6" s="53">
        <v>44977</v>
      </c>
      <c r="Q6" s="58">
        <v>1.8</v>
      </c>
      <c r="R6" s="44"/>
      <c r="S6" s="53">
        <v>44977</v>
      </c>
      <c r="T6" s="58">
        <f>(S6-S5)/360*$U$4*$K$4</f>
        <v>1.8</v>
      </c>
      <c r="U6" s="58">
        <f>T6-Q6</f>
        <v>0</v>
      </c>
      <c r="V6" s="52"/>
      <c r="W6" s="44"/>
      <c r="X6" s="44"/>
      <c r="Y6" s="62">
        <f>ROUNDDOWN((O4-V5)*(K4-W5)*X4/365,2)</f>
        <v>3.41</v>
      </c>
      <c r="Z6" s="44"/>
      <c r="AA6" s="44"/>
      <c r="AB6" s="44"/>
    </row>
    <row r="7" spans="1:29" s="35" customFormat="1">
      <c r="A7" s="44"/>
      <c r="B7" s="44"/>
      <c r="C7" s="44"/>
      <c r="D7" s="44"/>
      <c r="E7" s="44"/>
      <c r="F7" s="44"/>
      <c r="G7" s="44"/>
      <c r="H7" s="44"/>
      <c r="I7" s="44"/>
      <c r="J7" s="44"/>
      <c r="K7" s="44"/>
      <c r="L7" s="44"/>
      <c r="M7" s="44"/>
      <c r="N7" s="52"/>
      <c r="O7" s="53"/>
      <c r="P7" s="53">
        <v>45005</v>
      </c>
      <c r="Q7" s="58">
        <v>1.63</v>
      </c>
      <c r="R7" s="44"/>
      <c r="S7" s="53">
        <v>45005</v>
      </c>
      <c r="T7" s="58">
        <f>(S7-S6)*$K$4*$U$4/360</f>
        <v>1.63</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1.8</v>
      </c>
      <c r="R8" s="44"/>
      <c r="S8" s="53">
        <v>45036</v>
      </c>
      <c r="T8" s="58">
        <f t="shared" ref="T8:T20" si="0">(S8-S7)*$K$4*$U$4/360</f>
        <v>1.8</v>
      </c>
      <c r="U8" s="58">
        <f t="shared" ref="U8:U20"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1.74</v>
      </c>
      <c r="R9" s="44"/>
      <c r="S9" s="53">
        <v>45066</v>
      </c>
      <c r="T9" s="58">
        <f t="shared" si="0"/>
        <v>1.74</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1.8</v>
      </c>
      <c r="R10" s="44"/>
      <c r="S10" s="53">
        <v>45097</v>
      </c>
      <c r="T10" s="58">
        <f t="shared" si="0"/>
        <v>1.8</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1.7</v>
      </c>
      <c r="R11" s="44"/>
      <c r="S11" s="53">
        <v>45127</v>
      </c>
      <c r="T11" s="58">
        <f t="shared" si="0"/>
        <v>1.74</v>
      </c>
      <c r="U11" s="58">
        <f t="shared" si="1"/>
        <v>0.04</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1.7</v>
      </c>
      <c r="R12" s="44"/>
      <c r="S12" s="53">
        <v>45158</v>
      </c>
      <c r="T12" s="58">
        <f t="shared" si="0"/>
        <v>1.8</v>
      </c>
      <c r="U12" s="58">
        <f t="shared" si="1"/>
        <v>0.1</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1.7</v>
      </c>
      <c r="R13" s="44"/>
      <c r="S13" s="53">
        <v>45189</v>
      </c>
      <c r="T13" s="58">
        <f t="shared" si="0"/>
        <v>1.8</v>
      </c>
      <c r="U13" s="58">
        <f t="shared" si="1"/>
        <v>0.1</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1.65</v>
      </c>
      <c r="R14" s="44"/>
      <c r="S14" s="53">
        <v>45219</v>
      </c>
      <c r="T14" s="58">
        <f t="shared" si="0"/>
        <v>1.74</v>
      </c>
      <c r="U14" s="58">
        <f t="shared" si="1"/>
        <v>0.09</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1.7</v>
      </c>
      <c r="R15" s="44"/>
      <c r="S15" s="53">
        <v>45250</v>
      </c>
      <c r="T15" s="58">
        <f t="shared" si="0"/>
        <v>1.8</v>
      </c>
      <c r="U15" s="58">
        <f t="shared" si="1"/>
        <v>0.1</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45280</v>
      </c>
      <c r="Q16" s="58">
        <v>1.65</v>
      </c>
      <c r="R16" s="44"/>
      <c r="S16" s="53">
        <v>45280</v>
      </c>
      <c r="T16" s="58">
        <f t="shared" si="0"/>
        <v>1.74</v>
      </c>
      <c r="U16" s="58">
        <f t="shared" si="1"/>
        <v>0.09</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45311</v>
      </c>
      <c r="Q17" s="58">
        <v>1.67</v>
      </c>
      <c r="R17" s="44"/>
      <c r="S17" s="53">
        <v>45311</v>
      </c>
      <c r="T17" s="58">
        <f t="shared" si="0"/>
        <v>1.8</v>
      </c>
      <c r="U17" s="58">
        <f t="shared" si="1"/>
        <v>0.13</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v>45342</v>
      </c>
      <c r="Q18" s="58">
        <v>1.62</v>
      </c>
      <c r="R18" s="44"/>
      <c r="S18" s="53">
        <v>45342</v>
      </c>
      <c r="T18" s="58">
        <f t="shared" si="0"/>
        <v>1.8</v>
      </c>
      <c r="U18" s="58">
        <f t="shared" si="1"/>
        <v>0.18</v>
      </c>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v>45371</v>
      </c>
      <c r="Q19" s="58">
        <v>1.51</v>
      </c>
      <c r="R19" s="44"/>
      <c r="S19" s="53">
        <v>45371</v>
      </c>
      <c r="T19" s="58">
        <f t="shared" si="0"/>
        <v>1.68</v>
      </c>
      <c r="U19" s="58">
        <f t="shared" si="1"/>
        <v>0.17</v>
      </c>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v>45402</v>
      </c>
      <c r="Q20" s="58">
        <v>1.62</v>
      </c>
      <c r="R20" s="44"/>
      <c r="S20" s="53">
        <v>45402</v>
      </c>
      <c r="T20" s="58">
        <f t="shared" si="0"/>
        <v>1.8</v>
      </c>
      <c r="U20" s="58">
        <f t="shared" si="1"/>
        <v>0.18</v>
      </c>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成都世润汽车部件有限公司</v>
      </c>
      <c r="C27" s="43" t="str">
        <f t="shared" ref="C27:G27" si="2">C4</f>
        <v>龙泉驿区市场和质量监督管理局</v>
      </c>
      <c r="D27" s="43" t="str">
        <f t="shared" si="2"/>
        <v>91510112MA6C4N0X37</v>
      </c>
      <c r="E27" s="43" t="str">
        <f t="shared" si="2"/>
        <v>其他有限责任公司</v>
      </c>
      <c r="F27" s="43" t="str">
        <f t="shared" si="2"/>
        <v>龙泉税务局第二税务所</v>
      </c>
      <c r="G27" s="43" t="str">
        <f t="shared" si="2"/>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成都世润汽车部件有限公司</v>
      </c>
      <c r="C49" s="43" t="str">
        <f t="shared" ref="C49:G49" si="3">C27</f>
        <v>龙泉驿区市场和质量监督管理局</v>
      </c>
      <c r="D49" s="43" t="str">
        <f t="shared" si="3"/>
        <v>91510112MA6C4N0X37</v>
      </c>
      <c r="E49" s="43" t="str">
        <f t="shared" si="3"/>
        <v>其他有限责任公司</v>
      </c>
      <c r="F49" s="43" t="str">
        <f t="shared" si="3"/>
        <v>龙泉税务局第二税务所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成都世润汽车部件有限公司</v>
      </c>
      <c r="C71" s="43" t="str">
        <f t="shared" ref="C71:G71" si="4">C49</f>
        <v>龙泉驿区市场和质量监督管理局</v>
      </c>
      <c r="D71" s="43" t="str">
        <f t="shared" si="4"/>
        <v>91510112MA6C4N0X37</v>
      </c>
      <c r="E71" s="43" t="str">
        <f t="shared" si="4"/>
        <v>其他有限责任公司</v>
      </c>
      <c r="F71" s="43" t="str">
        <f t="shared" si="4"/>
        <v>龙泉税务局第二税务所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成都世润汽车部件有限公司</v>
      </c>
      <c r="C93" s="43" t="str">
        <f t="shared" ref="C93:G93" si="5">C71</f>
        <v>龙泉驿区市场和质量监督管理局</v>
      </c>
      <c r="D93" s="43" t="str">
        <f t="shared" si="5"/>
        <v>91510112MA6C4N0X37</v>
      </c>
      <c r="E93" s="43" t="str">
        <f t="shared" si="5"/>
        <v>其他有限责任公司</v>
      </c>
      <c r="F93" s="43" t="str">
        <f t="shared" si="5"/>
        <v>龙泉税务局第二税务所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6.94</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AC117"/>
  <sheetViews>
    <sheetView topLeftCell="E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2" width="9" style="36"/>
    <col min="13" max="13" width="1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成都华铭电子科技有限公司审计明细表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623</v>
      </c>
      <c r="C4" s="43" t="s">
        <v>1315</v>
      </c>
      <c r="D4" s="49" t="s">
        <v>1316</v>
      </c>
      <c r="E4" s="43" t="s">
        <v>146</v>
      </c>
      <c r="F4" s="43" t="s">
        <v>1290</v>
      </c>
      <c r="G4" s="43" t="s">
        <v>1229</v>
      </c>
      <c r="H4" s="43" t="s">
        <v>958</v>
      </c>
      <c r="I4" s="43" t="s">
        <v>1317</v>
      </c>
      <c r="J4" s="43" t="s">
        <v>73</v>
      </c>
      <c r="K4" s="43">
        <v>40</v>
      </c>
      <c r="L4" s="43" t="s">
        <v>1318</v>
      </c>
      <c r="M4" s="49" t="s">
        <v>1319</v>
      </c>
      <c r="N4" s="65">
        <v>44995</v>
      </c>
      <c r="O4" s="65">
        <v>45291</v>
      </c>
      <c r="P4" s="43">
        <f>P15-N4</f>
        <v>316</v>
      </c>
      <c r="Q4" s="55">
        <f>SUM(Q5:Q26)</f>
        <v>1.41</v>
      </c>
      <c r="R4" s="55">
        <v>0.35</v>
      </c>
      <c r="S4" s="43"/>
      <c r="T4" s="55">
        <f>SUM(T5:T26)</f>
        <v>1.45</v>
      </c>
      <c r="U4" s="56">
        <v>4.1000000000000002E-2</v>
      </c>
      <c r="V4" s="50"/>
      <c r="W4" s="43" t="s">
        <v>42</v>
      </c>
      <c r="X4" s="57">
        <v>0.01</v>
      </c>
      <c r="Y4" s="43">
        <f>ROUNDDOWN(IF((O4-N4+1)*K4*X4/365&gt;R4,R4,(O4-N4+1)*K4*X4/365),2)</f>
        <v>0.32</v>
      </c>
      <c r="Z4" s="55">
        <f>R4-Y4</f>
        <v>0.03</v>
      </c>
      <c r="AA4" s="55" t="s">
        <v>1294</v>
      </c>
      <c r="AB4" s="43" t="s">
        <v>61</v>
      </c>
    </row>
    <row r="5" spans="1:29" s="35" customFormat="1">
      <c r="A5" s="44"/>
      <c r="B5" s="44"/>
      <c r="C5" s="44"/>
      <c r="D5" s="44"/>
      <c r="E5" s="44"/>
      <c r="F5" s="44"/>
      <c r="G5" s="44"/>
      <c r="H5" s="44"/>
      <c r="I5" s="44"/>
      <c r="J5" s="44"/>
      <c r="K5" s="44"/>
      <c r="L5" s="44"/>
      <c r="M5" s="63"/>
      <c r="N5" s="52"/>
      <c r="O5" s="65">
        <v>45335</v>
      </c>
      <c r="P5" s="53">
        <v>45005</v>
      </c>
      <c r="Q5" s="58">
        <v>0.05</v>
      </c>
      <c r="R5" s="44"/>
      <c r="S5" s="53">
        <v>45005</v>
      </c>
      <c r="T5" s="58">
        <f>(S5-N4)/360*$U$4*$K$4</f>
        <v>0.05</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45036</v>
      </c>
      <c r="Q6" s="58">
        <v>0.14000000000000001</v>
      </c>
      <c r="R6" s="44"/>
      <c r="S6" s="53">
        <v>45036</v>
      </c>
      <c r="T6" s="58">
        <f>(S6-S5)/360*$U$4*$K$4</f>
        <v>0.14000000000000001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45066</v>
      </c>
      <c r="Q7" s="58">
        <v>0.13</v>
      </c>
      <c r="R7" s="44"/>
      <c r="S7" s="53">
        <v>45066</v>
      </c>
      <c r="T7" s="58">
        <f>(S7-S6)*$K$4*$U$4/360</f>
        <v>0.14000000000000001</v>
      </c>
      <c r="U7" s="58">
        <f>T7-Q7</f>
        <v>0.01</v>
      </c>
      <c r="V7" s="44"/>
      <c r="W7" s="44"/>
      <c r="X7" s="44"/>
      <c r="Y7" s="44"/>
      <c r="Z7" s="44"/>
      <c r="AA7" s="44"/>
      <c r="AB7" s="44"/>
    </row>
    <row r="8" spans="1:29" s="35" customFormat="1">
      <c r="A8" s="44"/>
      <c r="B8" s="44"/>
      <c r="C8" s="44"/>
      <c r="D8" s="44"/>
      <c r="E8" s="44"/>
      <c r="F8" s="44"/>
      <c r="G8" s="44"/>
      <c r="H8" s="44"/>
      <c r="I8" s="44"/>
      <c r="J8" s="44"/>
      <c r="K8" s="44"/>
      <c r="L8" s="44"/>
      <c r="M8" s="44"/>
      <c r="N8" s="52"/>
      <c r="O8" s="52"/>
      <c r="P8" s="53">
        <v>45097</v>
      </c>
      <c r="Q8" s="58">
        <v>0.14000000000000001</v>
      </c>
      <c r="R8" s="44"/>
      <c r="S8" s="53">
        <v>45097</v>
      </c>
      <c r="T8" s="58">
        <f t="shared" ref="T8:T15" si="0">(S8-S7)*$K$4*$U$4/360</f>
        <v>0.14000000000000001</v>
      </c>
      <c r="U8" s="58">
        <f t="shared" ref="U8:U15"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45127</v>
      </c>
      <c r="Q9" s="58">
        <v>0.13</v>
      </c>
      <c r="R9" s="44"/>
      <c r="S9" s="53">
        <v>45127</v>
      </c>
      <c r="T9" s="58">
        <f t="shared" si="0"/>
        <v>0.14000000000000001</v>
      </c>
      <c r="U9" s="58">
        <f t="shared" si="1"/>
        <v>0.01</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45158</v>
      </c>
      <c r="Q10" s="58">
        <v>0.14000000000000001</v>
      </c>
      <c r="R10" s="44"/>
      <c r="S10" s="53">
        <v>45158</v>
      </c>
      <c r="T10" s="58">
        <f t="shared" si="0"/>
        <v>0.14000000000000001</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45189</v>
      </c>
      <c r="Q11" s="58">
        <v>0.14000000000000001</v>
      </c>
      <c r="R11" s="44"/>
      <c r="S11" s="53">
        <v>45189</v>
      </c>
      <c r="T11" s="58">
        <f t="shared" si="0"/>
        <v>0.14000000000000001</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45219</v>
      </c>
      <c r="Q12" s="58">
        <v>0.13</v>
      </c>
      <c r="R12" s="44"/>
      <c r="S12" s="53">
        <v>45219</v>
      </c>
      <c r="T12" s="58">
        <f t="shared" si="0"/>
        <v>0.14000000000000001</v>
      </c>
      <c r="U12" s="58">
        <f t="shared" si="1"/>
        <v>0.01</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45250</v>
      </c>
      <c r="Q13" s="58">
        <v>0.14000000000000001</v>
      </c>
      <c r="R13" s="44"/>
      <c r="S13" s="53">
        <v>45250</v>
      </c>
      <c r="T13" s="58">
        <f t="shared" si="0"/>
        <v>0.14000000000000001</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45280</v>
      </c>
      <c r="Q14" s="58">
        <v>0.13</v>
      </c>
      <c r="R14" s="44"/>
      <c r="S14" s="53">
        <v>45280</v>
      </c>
      <c r="T14" s="58">
        <f t="shared" si="0"/>
        <v>0.14000000000000001</v>
      </c>
      <c r="U14" s="58">
        <f t="shared" si="1"/>
        <v>0.01</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45311</v>
      </c>
      <c r="Q15" s="58">
        <v>0.14000000000000001</v>
      </c>
      <c r="R15" s="44"/>
      <c r="S15" s="53">
        <v>45311</v>
      </c>
      <c r="T15" s="58">
        <f t="shared" si="0"/>
        <v>0.14000000000000001</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成都华铭电子科技有限公司</v>
      </c>
      <c r="C27" s="43" t="str">
        <f t="shared" ref="C27:G27" si="2">C4</f>
        <v>龙泉驿区工商局</v>
      </c>
      <c r="D27" s="43" t="str">
        <f t="shared" si="2"/>
        <v>91510112698859238N</v>
      </c>
      <c r="E27" s="43" t="str">
        <f t="shared" si="2"/>
        <v>有限责任公司</v>
      </c>
      <c r="F27" s="43" t="str">
        <f t="shared" si="2"/>
        <v>龙泉驿区税务局</v>
      </c>
      <c r="G27" s="43" t="str">
        <f t="shared" si="2"/>
        <v>收款账号：511610018010210321008
开户行：交通银行成都双流棠湖支行</v>
      </c>
      <c r="H27" s="43" t="s">
        <v>71</v>
      </c>
      <c r="I27" s="43" t="s">
        <v>1317</v>
      </c>
      <c r="J27" s="43" t="s">
        <v>294</v>
      </c>
      <c r="K27" s="43">
        <v>460</v>
      </c>
      <c r="L27" s="43" t="s">
        <v>1320</v>
      </c>
      <c r="M27" s="49" t="s">
        <v>1321</v>
      </c>
      <c r="N27" s="83">
        <v>44995</v>
      </c>
      <c r="O27" s="83">
        <v>45291</v>
      </c>
      <c r="P27" s="43">
        <f>P38-N27</f>
        <v>316</v>
      </c>
      <c r="Q27" s="55">
        <f>SUM(Q28:Q41)</f>
        <v>14.54</v>
      </c>
      <c r="R27" s="66">
        <v>6</v>
      </c>
      <c r="S27" s="43"/>
      <c r="T27" s="55">
        <f>SUM(T28:T33)</f>
        <v>7.62</v>
      </c>
      <c r="U27" s="56">
        <v>3.6499999999999998E-2</v>
      </c>
      <c r="V27" s="50"/>
      <c r="W27" s="43" t="s">
        <v>42</v>
      </c>
      <c r="X27" s="57">
        <v>1.4999999999999999E-2</v>
      </c>
      <c r="Y27" s="43">
        <f>ROUNDDOWN(IF((O27-N27+1)*K27*X27/365&gt;R27,R27,(O27-N27+1)*K27*X27/365),2)</f>
        <v>5.61</v>
      </c>
      <c r="Z27" s="55">
        <f>R27-Y27</f>
        <v>0.39</v>
      </c>
      <c r="AA27" s="55" t="s">
        <v>1294</v>
      </c>
      <c r="AB27" s="43" t="s">
        <v>61</v>
      </c>
    </row>
    <row r="28" spans="1:28" s="35" customFormat="1">
      <c r="A28" s="44"/>
      <c r="B28" s="44"/>
      <c r="C28" s="44"/>
      <c r="D28" s="44"/>
      <c r="E28" s="44"/>
      <c r="F28" s="44"/>
      <c r="G28" s="44"/>
      <c r="H28" s="44"/>
      <c r="I28" s="44"/>
      <c r="J28" s="44"/>
      <c r="K28" s="44"/>
      <c r="L28" s="44"/>
      <c r="M28" s="44"/>
      <c r="N28" s="85"/>
      <c r="O28" s="85">
        <v>45701</v>
      </c>
      <c r="P28" s="53">
        <v>45005</v>
      </c>
      <c r="Q28" s="58">
        <v>0.47</v>
      </c>
      <c r="R28" s="44"/>
      <c r="S28" s="53">
        <v>45005</v>
      </c>
      <c r="T28" s="58">
        <f>(S28-N27)/360*$U$27*$K$27</f>
        <v>0.47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45036</v>
      </c>
      <c r="Q29" s="58">
        <v>1.45</v>
      </c>
      <c r="R29" s="44"/>
      <c r="S29" s="53">
        <v>45036</v>
      </c>
      <c r="T29" s="58">
        <f>(S29-S28)/360*$U$27*$K$27</f>
        <v>1.45</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45066</v>
      </c>
      <c r="Q30" s="58">
        <v>1.4</v>
      </c>
      <c r="R30" s="44"/>
      <c r="S30" s="53">
        <v>45066</v>
      </c>
      <c r="T30" s="58">
        <f t="shared" ref="T30:T38" si="3">(S30-S29)/360*$U$27*$K$27</f>
        <v>1.4</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45097</v>
      </c>
      <c r="Q31" s="58">
        <v>1.45</v>
      </c>
      <c r="R31" s="44"/>
      <c r="S31" s="53">
        <v>45097</v>
      </c>
      <c r="T31" s="58">
        <f t="shared" si="3"/>
        <v>1.45</v>
      </c>
      <c r="U31" s="58">
        <f t="shared" ref="U31:U38"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45127</v>
      </c>
      <c r="Q32" s="58">
        <v>1.4</v>
      </c>
      <c r="R32" s="44"/>
      <c r="S32" s="53">
        <v>45127</v>
      </c>
      <c r="T32" s="58">
        <f t="shared" si="3"/>
        <v>1.4</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45158</v>
      </c>
      <c r="Q33" s="58">
        <v>1.45</v>
      </c>
      <c r="R33" s="44"/>
      <c r="S33" s="53">
        <v>45158</v>
      </c>
      <c r="T33" s="58">
        <f t="shared" si="3"/>
        <v>1.45</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45189</v>
      </c>
      <c r="Q34" s="58">
        <v>1.4</v>
      </c>
      <c r="R34" s="44"/>
      <c r="S34" s="53">
        <v>45189</v>
      </c>
      <c r="T34" s="58">
        <f t="shared" si="3"/>
        <v>1.45</v>
      </c>
      <c r="U34" s="58">
        <f t="shared" si="4"/>
        <v>0.05</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45219</v>
      </c>
      <c r="Q35" s="58">
        <v>1.36</v>
      </c>
      <c r="R35" s="44"/>
      <c r="S35" s="53">
        <v>45219</v>
      </c>
      <c r="T35" s="58">
        <f t="shared" si="3"/>
        <v>1.4</v>
      </c>
      <c r="U35" s="58">
        <f t="shared" si="4"/>
        <v>0.04</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45250</v>
      </c>
      <c r="Q36" s="58">
        <v>1.4</v>
      </c>
      <c r="R36" s="44"/>
      <c r="S36" s="53">
        <v>45250</v>
      </c>
      <c r="T36" s="58">
        <f t="shared" si="3"/>
        <v>1.45</v>
      </c>
      <c r="U36" s="58">
        <f t="shared" si="4"/>
        <v>0.05</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45280</v>
      </c>
      <c r="Q37" s="58">
        <v>1.36</v>
      </c>
      <c r="R37" s="44"/>
      <c r="S37" s="53">
        <v>45280</v>
      </c>
      <c r="T37" s="58">
        <f t="shared" si="3"/>
        <v>1.4</v>
      </c>
      <c r="U37" s="58">
        <f t="shared" si="4"/>
        <v>0.04</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45311</v>
      </c>
      <c r="Q38" s="58">
        <v>1.4</v>
      </c>
      <c r="R38" s="44"/>
      <c r="S38" s="53">
        <v>45311</v>
      </c>
      <c r="T38" s="58">
        <f t="shared" si="3"/>
        <v>1.45</v>
      </c>
      <c r="U38" s="58">
        <f t="shared" si="4"/>
        <v>0.05</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成都华铭电子科技有限公司</v>
      </c>
      <c r="C49" s="43" t="str">
        <f t="shared" ref="C49:G49" si="5">C27</f>
        <v>龙泉驿区工商局</v>
      </c>
      <c r="D49" s="43" t="str">
        <f t="shared" si="5"/>
        <v>91510112698859238N</v>
      </c>
      <c r="E49" s="43" t="str">
        <f t="shared" si="5"/>
        <v>有限责任公司</v>
      </c>
      <c r="F49" s="43" t="str">
        <f t="shared" si="5"/>
        <v>龙泉驿区税务局</v>
      </c>
      <c r="G49" s="43" t="str">
        <f t="shared" si="5"/>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成都华铭电子科技有限公司</v>
      </c>
      <c r="C71" s="43" t="str">
        <f t="shared" ref="C71:G71" si="6">C49</f>
        <v>龙泉驿区工商局</v>
      </c>
      <c r="D71" s="43" t="str">
        <f t="shared" si="6"/>
        <v>91510112698859238N</v>
      </c>
      <c r="E71" s="43" t="str">
        <f t="shared" si="6"/>
        <v>有限责任公司</v>
      </c>
      <c r="F71" s="43" t="str">
        <f t="shared" si="6"/>
        <v>龙泉驿区税务局</v>
      </c>
      <c r="G71" s="43" t="str">
        <f t="shared" si="6"/>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成都华铭电子科技有限公司</v>
      </c>
      <c r="C93" s="43" t="str">
        <f t="shared" ref="C93:G93" si="7">C71</f>
        <v>龙泉驿区工商局</v>
      </c>
      <c r="D93" s="43" t="str">
        <f t="shared" si="7"/>
        <v>91510112698859238N</v>
      </c>
      <c r="E93" s="43" t="str">
        <f t="shared" si="7"/>
        <v>有限责任公司</v>
      </c>
      <c r="F93" s="43" t="str">
        <f t="shared" si="7"/>
        <v>龙泉驿区税务局</v>
      </c>
      <c r="G93" s="43" t="str">
        <f t="shared" si="7"/>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5.93</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AC117"/>
  <sheetViews>
    <sheetView zoomScale="80" zoomScaleNormal="80" workbookViewId="0">
      <pane ySplit="3" topLeftCell="A4" activePane="bottomLeft" state="frozen"/>
      <selection pane="bottomLeft" activeCell="B8" sqref="B8"/>
    </sheetView>
  </sheetViews>
  <sheetFormatPr defaultColWidth="9" defaultRowHeight="14"/>
  <cols>
    <col min="1" max="6" width="9" style="36"/>
    <col min="7" max="7" width="9" style="36" customWidth="1"/>
    <col min="8" max="12" width="9" style="36"/>
    <col min="13" max="13" width="12.83203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成都英诺思科技有限公司审计明细表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678</v>
      </c>
      <c r="C4" s="43" t="s">
        <v>1288</v>
      </c>
      <c r="D4" s="49" t="s">
        <v>1322</v>
      </c>
      <c r="E4" s="43" t="s">
        <v>1079</v>
      </c>
      <c r="F4" s="43" t="s">
        <v>1290</v>
      </c>
      <c r="G4" s="43" t="s">
        <v>1229</v>
      </c>
      <c r="H4" s="43" t="s">
        <v>958</v>
      </c>
      <c r="I4" s="43" t="s">
        <v>1323</v>
      </c>
      <c r="J4" s="43" t="s">
        <v>933</v>
      </c>
      <c r="K4" s="43">
        <v>300</v>
      </c>
      <c r="L4" s="43" t="s">
        <v>1324</v>
      </c>
      <c r="M4" s="49" t="s">
        <v>1325</v>
      </c>
      <c r="N4" s="65">
        <v>44728</v>
      </c>
      <c r="O4" s="65">
        <v>44908</v>
      </c>
      <c r="P4" s="43">
        <f>P11-N4</f>
        <v>168</v>
      </c>
      <c r="Q4" s="55">
        <f>SUM(Q5:Q26)</f>
        <v>6.02</v>
      </c>
      <c r="R4" s="55">
        <v>1.38</v>
      </c>
      <c r="S4" s="43"/>
      <c r="T4" s="55">
        <f>SUM(T5:T26)</f>
        <v>5.09</v>
      </c>
      <c r="U4" s="56">
        <v>3.6499999999999998E-2</v>
      </c>
      <c r="V4" s="50"/>
      <c r="W4" s="43" t="s">
        <v>42</v>
      </c>
      <c r="X4" s="57">
        <v>0.01</v>
      </c>
      <c r="Y4" s="43">
        <f>ROUNDDOWN(IF((O4-N4+1)*K4*X4/365&gt;R4,R4,(O4-N4+1)*K4*X4/365),2)</f>
        <v>1.38</v>
      </c>
      <c r="Z4" s="55">
        <f>R4-Y4</f>
        <v>0</v>
      </c>
      <c r="AA4" s="55"/>
      <c r="AB4" s="43" t="s">
        <v>1326</v>
      </c>
    </row>
    <row r="5" spans="1:29" s="35" customFormat="1">
      <c r="A5" s="44"/>
      <c r="B5" s="44"/>
      <c r="C5" s="44"/>
      <c r="D5" s="44"/>
      <c r="E5" s="44"/>
      <c r="F5" s="44"/>
      <c r="G5" s="44"/>
      <c r="H5" s="44"/>
      <c r="I5" s="44"/>
      <c r="J5" s="44"/>
      <c r="K5" s="44"/>
      <c r="L5" s="44"/>
      <c r="M5" s="63"/>
      <c r="N5" s="52"/>
      <c r="O5" s="65"/>
      <c r="P5" s="53">
        <v>44733</v>
      </c>
      <c r="Q5" s="58">
        <v>0.18</v>
      </c>
      <c r="R5" s="44"/>
      <c r="S5" s="53">
        <v>44733</v>
      </c>
      <c r="T5" s="58">
        <f>(S5-N4)/360*$U$4*$K$4</f>
        <v>0.15</v>
      </c>
      <c r="U5" s="58">
        <f>T5-Q5</f>
        <v>-0.03</v>
      </c>
      <c r="V5" s="52"/>
      <c r="W5" s="44"/>
      <c r="X5" s="44"/>
      <c r="Y5" s="44"/>
      <c r="Z5" s="44"/>
      <c r="AA5" s="44"/>
      <c r="AB5" s="44"/>
    </row>
    <row r="6" spans="1:29" s="35" customFormat="1">
      <c r="A6" s="44"/>
      <c r="B6" s="44"/>
      <c r="C6" s="44"/>
      <c r="D6" s="44"/>
      <c r="E6" s="44"/>
      <c r="F6" s="44"/>
      <c r="G6" s="44"/>
      <c r="H6" s="44"/>
      <c r="I6" s="44"/>
      <c r="J6" s="44"/>
      <c r="K6" s="44"/>
      <c r="L6" s="44"/>
      <c r="M6" s="63"/>
      <c r="N6" s="52"/>
      <c r="O6" s="53"/>
      <c r="P6" s="53">
        <v>44763</v>
      </c>
      <c r="Q6" s="58">
        <v>1.075</v>
      </c>
      <c r="R6" s="44"/>
      <c r="S6" s="53">
        <v>44763</v>
      </c>
      <c r="T6" s="58">
        <f>(S6-S5)/360*$U$4*$K$4</f>
        <v>0.91</v>
      </c>
      <c r="U6" s="58">
        <f>T6-Q6</f>
        <v>-0.17</v>
      </c>
      <c r="V6" s="52"/>
      <c r="W6" s="44"/>
      <c r="X6" s="44"/>
      <c r="Y6" s="44"/>
      <c r="Z6" s="44"/>
      <c r="AA6" s="44"/>
      <c r="AB6" s="44"/>
    </row>
    <row r="7" spans="1:29" s="35" customFormat="1">
      <c r="A7" s="44"/>
      <c r="B7" s="44"/>
      <c r="C7" s="44"/>
      <c r="D7" s="44"/>
      <c r="E7" s="44"/>
      <c r="F7" s="44"/>
      <c r="G7" s="44"/>
      <c r="H7" s="44"/>
      <c r="I7" s="44"/>
      <c r="J7" s="44"/>
      <c r="K7" s="44"/>
      <c r="L7" s="44"/>
      <c r="M7" s="44"/>
      <c r="N7" s="52"/>
      <c r="O7" s="53"/>
      <c r="P7" s="53">
        <v>44794</v>
      </c>
      <c r="Q7" s="58">
        <v>1.1100000000000001</v>
      </c>
      <c r="R7" s="44"/>
      <c r="S7" s="53">
        <v>44794</v>
      </c>
      <c r="T7" s="58">
        <f>(S7-S6)*$K$4*$U$4/360</f>
        <v>0.94</v>
      </c>
      <c r="U7" s="58">
        <f>T7-Q7</f>
        <v>-0.17</v>
      </c>
      <c r="V7" s="44"/>
      <c r="W7" s="44"/>
      <c r="X7" s="44"/>
      <c r="Y7" s="44"/>
      <c r="Z7" s="44"/>
      <c r="AA7" s="44"/>
      <c r="AB7" s="44"/>
    </row>
    <row r="8" spans="1:29" s="35" customFormat="1">
      <c r="A8" s="44"/>
      <c r="B8" s="44"/>
      <c r="C8" s="44"/>
      <c r="D8" s="44"/>
      <c r="E8" s="44"/>
      <c r="F8" s="44"/>
      <c r="G8" s="44"/>
      <c r="H8" s="44"/>
      <c r="I8" s="44"/>
      <c r="J8" s="44"/>
      <c r="K8" s="44"/>
      <c r="L8" s="44"/>
      <c r="M8" s="44"/>
      <c r="N8" s="52"/>
      <c r="O8" s="52"/>
      <c r="P8" s="53">
        <v>44825</v>
      </c>
      <c r="Q8" s="58">
        <v>1.1100000000000001</v>
      </c>
      <c r="R8" s="44"/>
      <c r="S8" s="53">
        <v>44825</v>
      </c>
      <c r="T8" s="58">
        <f t="shared" ref="T8:T11" si="0">(S8-S7)*$K$4*$U$4/360</f>
        <v>0.94</v>
      </c>
      <c r="U8" s="58">
        <f t="shared" ref="U8:U11" si="1">T8-Q8</f>
        <v>-0.17</v>
      </c>
      <c r="V8" s="44"/>
      <c r="W8" s="44"/>
      <c r="X8" s="44"/>
      <c r="Y8" s="44"/>
      <c r="Z8" s="44"/>
      <c r="AA8" s="44"/>
      <c r="AB8" s="44"/>
    </row>
    <row r="9" spans="1:29" s="35" customFormat="1">
      <c r="A9" s="44"/>
      <c r="B9" s="44"/>
      <c r="C9" s="44"/>
      <c r="D9" s="44"/>
      <c r="E9" s="44"/>
      <c r="F9" s="44"/>
      <c r="G9" s="44"/>
      <c r="H9" s="44"/>
      <c r="I9" s="44"/>
      <c r="J9" s="44"/>
      <c r="K9" s="44"/>
      <c r="L9" s="44"/>
      <c r="M9" s="44"/>
      <c r="N9" s="52"/>
      <c r="O9" s="52"/>
      <c r="P9" s="53">
        <v>44855</v>
      </c>
      <c r="Q9" s="58">
        <v>1.075</v>
      </c>
      <c r="R9" s="44"/>
      <c r="S9" s="53">
        <v>44855</v>
      </c>
      <c r="T9" s="58">
        <f t="shared" si="0"/>
        <v>0.91</v>
      </c>
      <c r="U9" s="58">
        <f t="shared" si="1"/>
        <v>-0.17</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44886</v>
      </c>
      <c r="Q10" s="58">
        <v>1.1100000000000001</v>
      </c>
      <c r="R10" s="44"/>
      <c r="S10" s="53">
        <v>44886</v>
      </c>
      <c r="T10" s="58">
        <f t="shared" si="0"/>
        <v>0.94</v>
      </c>
      <c r="U10" s="58">
        <f t="shared" si="1"/>
        <v>-0.17</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44896</v>
      </c>
      <c r="Q11" s="58">
        <v>0.36</v>
      </c>
      <c r="R11" s="44"/>
      <c r="S11" s="53">
        <v>44896</v>
      </c>
      <c r="T11" s="58">
        <f t="shared" si="0"/>
        <v>0.3</v>
      </c>
      <c r="U11" s="58">
        <f t="shared" si="1"/>
        <v>-0.06</v>
      </c>
      <c r="V11" s="44"/>
      <c r="W11" s="44"/>
      <c r="X11" s="44"/>
      <c r="Y11" s="44"/>
      <c r="Z11" s="44"/>
      <c r="AA11" s="44"/>
      <c r="AB11" s="44"/>
    </row>
    <row r="12" spans="1:29"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hidden="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成都英诺思科技有限公司</v>
      </c>
      <c r="C27" s="43" t="str">
        <f t="shared" ref="C27:G27" si="2">C4</f>
        <v>龙泉驿区行政审批局</v>
      </c>
      <c r="D27" s="43" t="str">
        <f t="shared" si="2"/>
        <v>91510112MA6DFKEH4F</v>
      </c>
      <c r="E27" s="43" t="str">
        <f t="shared" si="2"/>
        <v>其他有限公司</v>
      </c>
      <c r="F27" s="43" t="str">
        <f t="shared" si="2"/>
        <v>龙泉驿区税务局</v>
      </c>
      <c r="G27" s="43" t="str">
        <f t="shared" si="2"/>
        <v>收款账号：511610018010210321008
开户行：交通银行成都双流棠湖支行</v>
      </c>
      <c r="H27" s="43" t="s">
        <v>958</v>
      </c>
      <c r="I27" s="43" t="s">
        <v>1323</v>
      </c>
      <c r="J27" s="43" t="s">
        <v>933</v>
      </c>
      <c r="K27" s="43">
        <v>300</v>
      </c>
      <c r="L27" s="44" t="s">
        <v>1327</v>
      </c>
      <c r="M27" s="49" t="s">
        <v>1328</v>
      </c>
      <c r="N27" s="83">
        <v>44896</v>
      </c>
      <c r="O27" s="83">
        <v>45076</v>
      </c>
      <c r="P27" s="43">
        <f>P34-N27</f>
        <v>173</v>
      </c>
      <c r="Q27" s="55">
        <f>SUM(Q28:Q41)</f>
        <v>6.1</v>
      </c>
      <c r="R27" s="66">
        <v>1.42</v>
      </c>
      <c r="S27" s="43"/>
      <c r="T27" s="55">
        <f>SUM(T28:T33)</f>
        <v>5.19</v>
      </c>
      <c r="U27" s="56">
        <v>3.6499999999999998E-2</v>
      </c>
      <c r="V27" s="50"/>
      <c r="W27" s="43" t="s">
        <v>42</v>
      </c>
      <c r="X27" s="57">
        <v>0.01</v>
      </c>
      <c r="Y27" s="43">
        <f>ROUNDDOWN(IF((O27-N27+1)*K27*X27/365&gt;R27,R27,(O27-N27+1)*K27*X27/365),2)</f>
        <v>1.42</v>
      </c>
      <c r="Z27" s="55">
        <f>R27-Y27</f>
        <v>0</v>
      </c>
      <c r="AA27" s="55"/>
      <c r="AB27" s="43" t="s">
        <v>61</v>
      </c>
    </row>
    <row r="28" spans="1:28" s="35" customFormat="1">
      <c r="A28" s="44"/>
      <c r="B28" s="44"/>
      <c r="C28" s="44"/>
      <c r="D28" s="44"/>
      <c r="E28" s="44"/>
      <c r="F28" s="44"/>
      <c r="G28" s="44"/>
      <c r="H28" s="44"/>
      <c r="I28" s="44"/>
      <c r="J28" s="44"/>
      <c r="K28" s="44"/>
      <c r="L28" s="44"/>
      <c r="M28" s="44"/>
      <c r="N28" s="85"/>
      <c r="O28" s="85"/>
      <c r="P28" s="53">
        <v>44926</v>
      </c>
      <c r="Q28" s="58">
        <v>0.71</v>
      </c>
      <c r="R28" s="44"/>
      <c r="S28" s="53">
        <v>44926</v>
      </c>
      <c r="T28" s="58">
        <f>(S28-N27)/360*$U$27*$K$27</f>
        <v>0.91</v>
      </c>
      <c r="U28" s="58">
        <f>T28-Q28</f>
        <v>0.2</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44947</v>
      </c>
      <c r="Q29" s="58">
        <v>1.0900000000000001</v>
      </c>
      <c r="R29" s="44"/>
      <c r="S29" s="53">
        <v>44947</v>
      </c>
      <c r="T29" s="58">
        <f>(S29-S28)/360*$U$27*$K$27</f>
        <v>0.64</v>
      </c>
      <c r="U29" s="58">
        <f>T29-Q29</f>
        <v>-0.45</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44978</v>
      </c>
      <c r="Q30" s="58">
        <v>1.0900000000000001</v>
      </c>
      <c r="R30" s="44"/>
      <c r="S30" s="53">
        <v>44978</v>
      </c>
      <c r="T30" s="58">
        <f t="shared" ref="T30:T34" si="3">(S30-S29)/360*$U$27*$K$27</f>
        <v>0.94</v>
      </c>
      <c r="U30" s="58">
        <f>T30-Q30</f>
        <v>-0.15</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45006</v>
      </c>
      <c r="Q31" s="58">
        <v>0.99</v>
      </c>
      <c r="R31" s="44"/>
      <c r="S31" s="53">
        <v>45006</v>
      </c>
      <c r="T31" s="58">
        <f t="shared" si="3"/>
        <v>0.85</v>
      </c>
      <c r="U31" s="58">
        <f t="shared" ref="U31:U34" si="4">T31-Q31</f>
        <v>-0.14000000000000001</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45037</v>
      </c>
      <c r="Q32" s="58">
        <v>1.0900000000000001</v>
      </c>
      <c r="R32" s="44"/>
      <c r="S32" s="53">
        <v>45037</v>
      </c>
      <c r="T32" s="58">
        <f t="shared" si="3"/>
        <v>0.94</v>
      </c>
      <c r="U32" s="58">
        <f t="shared" si="4"/>
        <v>-0.15</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45067</v>
      </c>
      <c r="Q33" s="58">
        <v>1.06</v>
      </c>
      <c r="R33" s="44"/>
      <c r="S33" s="53">
        <v>45067</v>
      </c>
      <c r="T33" s="58">
        <f t="shared" si="3"/>
        <v>0.91</v>
      </c>
      <c r="U33" s="58">
        <f t="shared" si="4"/>
        <v>-0.15</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45069</v>
      </c>
      <c r="Q34" s="58">
        <v>7.0000000000000007E-2</v>
      </c>
      <c r="R34" s="44"/>
      <c r="S34" s="53">
        <v>45069</v>
      </c>
      <c r="T34" s="58">
        <f t="shared" si="3"/>
        <v>0.06</v>
      </c>
      <c r="U34" s="58">
        <f t="shared" si="4"/>
        <v>-0.01</v>
      </c>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成都英诺思科技有限公司</v>
      </c>
      <c r="C49" s="43" t="str">
        <f t="shared" ref="C49:G49" si="5">C27</f>
        <v>龙泉驿区行政审批局</v>
      </c>
      <c r="D49" s="43" t="str">
        <f t="shared" si="5"/>
        <v>91510112MA6DFKEH4F</v>
      </c>
      <c r="E49" s="43" t="str">
        <f t="shared" si="5"/>
        <v>其他有限公司</v>
      </c>
      <c r="F49" s="43" t="str">
        <f t="shared" si="5"/>
        <v>龙泉驿区税务局</v>
      </c>
      <c r="G49" s="43" t="str">
        <f t="shared" si="5"/>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成都英诺思科技有限公司</v>
      </c>
      <c r="C71" s="43" t="str">
        <f t="shared" ref="C71:G71" si="6">C49</f>
        <v>龙泉驿区行政审批局</v>
      </c>
      <c r="D71" s="43" t="str">
        <f t="shared" si="6"/>
        <v>91510112MA6DFKEH4F</v>
      </c>
      <c r="E71" s="43" t="str">
        <f t="shared" si="6"/>
        <v>其他有限公司</v>
      </c>
      <c r="F71" s="43" t="str">
        <f t="shared" si="6"/>
        <v>龙泉驿区税务局</v>
      </c>
      <c r="G71" s="43" t="str">
        <f t="shared" si="6"/>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成都英诺思科技有限公司</v>
      </c>
      <c r="C93" s="43" t="str">
        <f t="shared" ref="C93:G93" si="7">C71</f>
        <v>龙泉驿区行政审批局</v>
      </c>
      <c r="D93" s="43" t="str">
        <f t="shared" si="7"/>
        <v>91510112MA6DFKEH4F</v>
      </c>
      <c r="E93" s="43" t="str">
        <f t="shared" si="7"/>
        <v>其他有限公司</v>
      </c>
      <c r="F93" s="43" t="str">
        <f t="shared" si="7"/>
        <v>龙泉驿区税务局</v>
      </c>
      <c r="G93" s="43" t="str">
        <f t="shared" si="7"/>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600</v>
      </c>
      <c r="L115" s="43"/>
      <c r="M115" s="43"/>
      <c r="N115" s="50"/>
      <c r="O115" s="50"/>
      <c r="P115" s="43"/>
      <c r="Q115" s="43"/>
      <c r="R115" s="43"/>
      <c r="S115" s="43"/>
      <c r="T115" s="43"/>
      <c r="U115" s="43"/>
      <c r="V115" s="43"/>
      <c r="W115" s="43"/>
      <c r="X115" s="43"/>
      <c r="Y115" s="43">
        <f>Y93+Y71+Y49+Y27++Y4</f>
        <v>2.8</v>
      </c>
      <c r="Z115" s="43"/>
      <c r="AA115" s="43"/>
      <c r="AB115" s="43"/>
    </row>
    <row r="116" spans="1:28">
      <c r="I116" s="36" t="s">
        <v>49</v>
      </c>
      <c r="K116" s="36">
        <f>IF(K115&gt;3000,K117,K115)</f>
        <v>600</v>
      </c>
    </row>
    <row r="117" spans="1:28" hidden="1">
      <c r="K117" s="36">
        <f>IF(K116&gt;3000,K118,K116)</f>
        <v>600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drawing r:id="rId1"/>
  <legacyDrawing r:id="rId2"/>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AC117"/>
  <sheetViews>
    <sheetView topLeftCell="K1" workbookViewId="0">
      <pane ySplit="3" topLeftCell="A4" activePane="bottomLeft" state="frozen"/>
      <selection pane="bottomLeft" activeCell="M7" sqref="M7"/>
    </sheetView>
  </sheetViews>
  <sheetFormatPr defaultColWidth="9" defaultRowHeight="14"/>
  <cols>
    <col min="1" max="6" width="9" style="36"/>
    <col min="7" max="7" width="9" style="36" hidden="1" customWidth="1"/>
    <col min="8" max="12" width="9" style="36"/>
    <col min="13" max="13" width="16.7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成都美奢锐新材料有限公司审计明细表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637</v>
      </c>
      <c r="C4" s="43" t="s">
        <v>1288</v>
      </c>
      <c r="D4" s="49" t="s">
        <v>1329</v>
      </c>
      <c r="E4" s="43" t="s">
        <v>78</v>
      </c>
      <c r="F4" s="43" t="s">
        <v>1330</v>
      </c>
      <c r="G4" s="43" t="s">
        <v>1229</v>
      </c>
      <c r="H4" s="43" t="s">
        <v>71</v>
      </c>
      <c r="I4" s="43" t="s">
        <v>1331</v>
      </c>
      <c r="J4" s="43" t="s">
        <v>294</v>
      </c>
      <c r="K4" s="43">
        <v>1000</v>
      </c>
      <c r="L4" s="43" t="s">
        <v>1332</v>
      </c>
      <c r="M4" s="49" t="s">
        <v>1333</v>
      </c>
      <c r="N4" s="65">
        <v>44908</v>
      </c>
      <c r="O4" s="65">
        <v>45291</v>
      </c>
      <c r="P4" s="43">
        <f>P16-N4</f>
        <v>403</v>
      </c>
      <c r="Q4" s="55">
        <f>SUM(Q5:Q26)</f>
        <v>31.66</v>
      </c>
      <c r="R4" s="55">
        <v>15</v>
      </c>
      <c r="S4" s="43"/>
      <c r="T4" s="55">
        <f>SUM(T5:T26)</f>
        <v>43.67</v>
      </c>
      <c r="U4" s="56">
        <v>3.9E-2</v>
      </c>
      <c r="V4" s="50"/>
      <c r="W4" s="43" t="s">
        <v>42</v>
      </c>
      <c r="X4" s="57">
        <v>1.4999999999999999E-2</v>
      </c>
      <c r="Y4" s="43">
        <f>ROUNDDOWN(IF((O4-N4+1)*K4*X4/365&gt;R4,R4,(O4-N4+1)*K4*X4/365),2)</f>
        <v>15</v>
      </c>
      <c r="Z4" s="55">
        <f>R4-Y4</f>
        <v>0</v>
      </c>
      <c r="AA4" s="55" t="s">
        <v>1294</v>
      </c>
      <c r="AB4" s="43" t="s">
        <v>1334</v>
      </c>
    </row>
    <row r="5" spans="1:29" s="35" customFormat="1">
      <c r="A5" s="44"/>
      <c r="B5" s="44"/>
      <c r="C5" s="44"/>
      <c r="D5" s="44"/>
      <c r="E5" s="44"/>
      <c r="F5" s="44"/>
      <c r="G5" s="44"/>
      <c r="H5" s="44"/>
      <c r="I5" s="44"/>
      <c r="J5" s="44"/>
      <c r="K5" s="44"/>
      <c r="L5" s="44"/>
      <c r="M5" s="63"/>
      <c r="N5" s="52"/>
      <c r="O5" s="52">
        <v>45638</v>
      </c>
      <c r="P5" s="53">
        <v>44977</v>
      </c>
      <c r="Q5" s="58">
        <v>0.25</v>
      </c>
      <c r="R5" s="44"/>
      <c r="S5" s="53">
        <v>44977</v>
      </c>
      <c r="T5" s="58">
        <f>(S5-N4)/360*$U$4*$K$4</f>
        <v>7.48</v>
      </c>
      <c r="U5" s="58">
        <f>T5-Q5</f>
        <v>7.23</v>
      </c>
      <c r="V5" s="52"/>
      <c r="W5" s="44"/>
      <c r="X5" s="44"/>
      <c r="Y5" s="44"/>
      <c r="Z5" s="44"/>
      <c r="AA5" s="44"/>
      <c r="AB5" s="44"/>
    </row>
    <row r="6" spans="1:29" s="35" customFormat="1" ht="17">
      <c r="A6" s="44"/>
      <c r="B6" s="44"/>
      <c r="C6" s="44"/>
      <c r="D6" s="44"/>
      <c r="E6" s="44"/>
      <c r="F6" s="44"/>
      <c r="G6" s="44"/>
      <c r="H6" s="44"/>
      <c r="I6" s="44"/>
      <c r="J6" s="44"/>
      <c r="K6" s="44">
        <v>192.3</v>
      </c>
      <c r="L6" s="44"/>
      <c r="M6" s="86" t="s">
        <v>1335</v>
      </c>
      <c r="N6" s="52">
        <v>44967</v>
      </c>
      <c r="O6" s="52">
        <v>45697</v>
      </c>
      <c r="P6" s="53">
        <v>45005</v>
      </c>
      <c r="Q6" s="58">
        <v>1.61</v>
      </c>
      <c r="R6" s="44"/>
      <c r="S6" s="53">
        <v>45005</v>
      </c>
      <c r="T6" s="58">
        <f>(S6-S5)/360*$U$4*$K$4</f>
        <v>3.03</v>
      </c>
      <c r="U6" s="58">
        <f>T6-Q6</f>
        <v>1.42</v>
      </c>
      <c r="V6" s="52"/>
      <c r="W6" s="44"/>
      <c r="X6" s="44"/>
      <c r="Y6" s="44"/>
      <c r="Z6" s="44"/>
      <c r="AA6" s="44"/>
      <c r="AB6" s="44"/>
    </row>
    <row r="7" spans="1:29" s="35" customFormat="1">
      <c r="A7" s="44"/>
      <c r="B7" s="44"/>
      <c r="C7" s="44"/>
      <c r="D7" s="44"/>
      <c r="E7" s="44"/>
      <c r="F7" s="44"/>
      <c r="G7" s="44"/>
      <c r="H7" s="44"/>
      <c r="I7" s="44"/>
      <c r="J7" s="44"/>
      <c r="K7" s="44">
        <v>130.22999999999999</v>
      </c>
      <c r="L7" s="44"/>
      <c r="M7" s="51" t="s">
        <v>1336</v>
      </c>
      <c r="N7" s="52">
        <v>44974</v>
      </c>
      <c r="O7" s="52">
        <v>45703</v>
      </c>
      <c r="P7" s="53">
        <v>45036</v>
      </c>
      <c r="Q7" s="58">
        <v>2.93</v>
      </c>
      <c r="R7" s="44"/>
      <c r="S7" s="53">
        <v>45036</v>
      </c>
      <c r="T7" s="58">
        <f>(S7-S6)*$K$4*$U$4/360</f>
        <v>3.36</v>
      </c>
      <c r="U7" s="58">
        <f>T7-Q7</f>
        <v>0.43</v>
      </c>
      <c r="V7" s="44"/>
      <c r="W7" s="44"/>
      <c r="X7" s="44"/>
      <c r="Y7" s="44"/>
      <c r="Z7" s="44"/>
      <c r="AA7" s="44"/>
      <c r="AB7" s="44"/>
    </row>
    <row r="8" spans="1:29" s="35" customFormat="1">
      <c r="A8" s="44"/>
      <c r="B8" s="44"/>
      <c r="C8" s="44"/>
      <c r="D8" s="44"/>
      <c r="E8" s="44"/>
      <c r="F8" s="44"/>
      <c r="G8" s="44"/>
      <c r="H8" s="44"/>
      <c r="I8" s="44"/>
      <c r="J8" s="44"/>
      <c r="K8" s="44">
        <v>323.66000000000003</v>
      </c>
      <c r="L8" s="44"/>
      <c r="M8" s="51" t="s">
        <v>1337</v>
      </c>
      <c r="N8" s="52">
        <v>44988</v>
      </c>
      <c r="O8" s="52">
        <v>45718</v>
      </c>
      <c r="P8" s="53">
        <v>45066</v>
      </c>
      <c r="Q8" s="58">
        <v>3.25</v>
      </c>
      <c r="R8" s="44"/>
      <c r="S8" s="53">
        <v>45066</v>
      </c>
      <c r="T8" s="58">
        <f t="shared" ref="T8:T16" si="0">(S8-S7)*$K$4*$U$4/360</f>
        <v>3.25</v>
      </c>
      <c r="U8" s="58">
        <f>T8-Q8</f>
        <v>0</v>
      </c>
      <c r="V8" s="44"/>
      <c r="W8" s="44"/>
      <c r="X8" s="44"/>
      <c r="Y8" s="44"/>
      <c r="Z8" s="44"/>
      <c r="AA8" s="44"/>
      <c r="AB8" s="44"/>
    </row>
    <row r="9" spans="1:29" s="35" customFormat="1">
      <c r="A9" s="44"/>
      <c r="B9" s="44"/>
      <c r="C9" s="44"/>
      <c r="D9" s="44"/>
      <c r="E9" s="44"/>
      <c r="F9" s="44"/>
      <c r="G9" s="44"/>
      <c r="H9" s="44"/>
      <c r="I9" s="44"/>
      <c r="J9" s="44"/>
      <c r="K9" s="44">
        <v>55</v>
      </c>
      <c r="L9" s="44"/>
      <c r="M9" s="51" t="s">
        <v>1338</v>
      </c>
      <c r="N9" s="52">
        <v>45000</v>
      </c>
      <c r="O9" s="52">
        <v>45729</v>
      </c>
      <c r="P9" s="53">
        <v>45097</v>
      </c>
      <c r="Q9" s="58">
        <v>3.37</v>
      </c>
      <c r="R9" s="44"/>
      <c r="S9" s="53">
        <v>45097</v>
      </c>
      <c r="T9" s="58">
        <f t="shared" si="0"/>
        <v>3.36</v>
      </c>
      <c r="U9" s="58">
        <f t="shared" ref="U9:U16" si="1">T9-Q9</f>
        <v>-0.01</v>
      </c>
      <c r="V9" s="44"/>
      <c r="W9" s="44"/>
      <c r="X9" s="44"/>
      <c r="Y9" s="44"/>
      <c r="Z9" s="44"/>
      <c r="AA9" s="44"/>
      <c r="AB9" s="44"/>
    </row>
    <row r="10" spans="1:29" s="35" customFormat="1">
      <c r="A10" s="44"/>
      <c r="B10" s="44"/>
      <c r="C10" s="44"/>
      <c r="D10" s="44"/>
      <c r="E10" s="44"/>
      <c r="F10" s="44"/>
      <c r="G10" s="44"/>
      <c r="H10" s="44"/>
      <c r="I10" s="44"/>
      <c r="J10" s="44"/>
      <c r="K10" s="44">
        <v>180.3</v>
      </c>
      <c r="L10" s="44"/>
      <c r="M10" s="51" t="s">
        <v>1339</v>
      </c>
      <c r="N10" s="52">
        <v>45009</v>
      </c>
      <c r="O10" s="52">
        <v>45738</v>
      </c>
      <c r="P10" s="53">
        <v>45127</v>
      </c>
      <c r="Q10" s="58">
        <v>2.89</v>
      </c>
      <c r="R10" s="44"/>
      <c r="S10" s="53">
        <v>45127</v>
      </c>
      <c r="T10" s="58">
        <f t="shared" si="0"/>
        <v>3.25</v>
      </c>
      <c r="U10" s="58">
        <f t="shared" si="1"/>
        <v>0.36</v>
      </c>
      <c r="V10" s="44"/>
      <c r="W10" s="44"/>
      <c r="X10" s="44"/>
      <c r="Y10" s="44"/>
      <c r="Z10" s="44"/>
      <c r="AA10" s="44"/>
      <c r="AB10" s="44"/>
    </row>
    <row r="11" spans="1:29" s="35" customFormat="1">
      <c r="A11" s="44"/>
      <c r="B11" s="44"/>
      <c r="C11" s="44"/>
      <c r="D11" s="44"/>
      <c r="E11" s="44"/>
      <c r="F11" s="44"/>
      <c r="G11" s="44"/>
      <c r="H11" s="44"/>
      <c r="I11" s="44"/>
      <c r="J11" s="44"/>
      <c r="K11" s="44">
        <v>118.51</v>
      </c>
      <c r="L11" s="44"/>
      <c r="M11" s="51" t="s">
        <v>1340</v>
      </c>
      <c r="N11" s="52">
        <v>45033</v>
      </c>
      <c r="O11" s="52">
        <v>45759</v>
      </c>
      <c r="P11" s="53">
        <v>45158</v>
      </c>
      <c r="Q11" s="58">
        <v>2.99</v>
      </c>
      <c r="R11" s="44"/>
      <c r="S11" s="53">
        <v>45158</v>
      </c>
      <c r="T11" s="58">
        <f t="shared" si="0"/>
        <v>3.36</v>
      </c>
      <c r="U11" s="58">
        <f t="shared" si="1"/>
        <v>0.37</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45189</v>
      </c>
      <c r="Q12" s="58">
        <v>2.99</v>
      </c>
      <c r="R12" s="44"/>
      <c r="S12" s="53">
        <v>45189</v>
      </c>
      <c r="T12" s="58">
        <f t="shared" si="0"/>
        <v>3.36</v>
      </c>
      <c r="U12" s="58">
        <f t="shared" si="1"/>
        <v>0.37</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45219</v>
      </c>
      <c r="Q13" s="58">
        <v>2.89</v>
      </c>
      <c r="R13" s="44"/>
      <c r="S13" s="53">
        <v>45219</v>
      </c>
      <c r="T13" s="58">
        <f t="shared" si="0"/>
        <v>3.25</v>
      </c>
      <c r="U13" s="58">
        <f t="shared" si="1"/>
        <v>0.36</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45250</v>
      </c>
      <c r="Q14" s="58">
        <v>2.99</v>
      </c>
      <c r="R14" s="44"/>
      <c r="S14" s="53">
        <v>45250</v>
      </c>
      <c r="T14" s="58">
        <f t="shared" si="0"/>
        <v>3.36</v>
      </c>
      <c r="U14" s="58">
        <f t="shared" si="1"/>
        <v>0.37</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45280</v>
      </c>
      <c r="Q15" s="58">
        <v>2.89</v>
      </c>
      <c r="R15" s="44"/>
      <c r="S15" s="53">
        <v>45280</v>
      </c>
      <c r="T15" s="58">
        <f t="shared" si="0"/>
        <v>3.25</v>
      </c>
      <c r="U15" s="58">
        <f t="shared" si="1"/>
        <v>0.36</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45311</v>
      </c>
      <c r="Q16" s="58">
        <v>2.61</v>
      </c>
      <c r="R16" s="44"/>
      <c r="S16" s="53">
        <v>45311</v>
      </c>
      <c r="T16" s="58">
        <f t="shared" si="0"/>
        <v>3.36</v>
      </c>
      <c r="U16" s="58">
        <f t="shared" si="1"/>
        <v>0.75</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v>192.3</v>
      </c>
      <c r="L18" s="44"/>
      <c r="M18" s="44"/>
      <c r="N18" s="52">
        <v>44967</v>
      </c>
      <c r="O18" s="52">
        <v>45291</v>
      </c>
      <c r="P18" s="53"/>
      <c r="Q18" s="58"/>
      <c r="R18" s="55">
        <v>15</v>
      </c>
      <c r="S18" s="53"/>
      <c r="T18" s="58"/>
      <c r="U18" s="56"/>
      <c r="V18" s="44"/>
      <c r="W18" s="44"/>
      <c r="X18" s="57">
        <v>1.4999999999999999E-2</v>
      </c>
      <c r="Y18" s="43">
        <f t="shared" ref="Y18:Y23" si="2">ROUNDDOWN(IF((O18-N18+1)*K18*X18/365&gt;R18,R18,(O18-N18+1)*K18*X18/365),2)</f>
        <v>2.56</v>
      </c>
      <c r="Z18" s="44"/>
      <c r="AA18" s="44"/>
      <c r="AB18" s="44"/>
    </row>
    <row r="19" spans="1:28" s="35" customFormat="1">
      <c r="A19" s="44"/>
      <c r="B19" s="44"/>
      <c r="C19" s="44"/>
      <c r="D19" s="44"/>
      <c r="E19" s="44"/>
      <c r="F19" s="44"/>
      <c r="G19" s="44"/>
      <c r="H19" s="44"/>
      <c r="I19" s="44"/>
      <c r="J19" s="44"/>
      <c r="K19" s="44">
        <v>130.22999999999999</v>
      </c>
      <c r="L19" s="44"/>
      <c r="M19" s="44"/>
      <c r="N19" s="52">
        <v>44974</v>
      </c>
      <c r="O19" s="52">
        <v>45291</v>
      </c>
      <c r="P19" s="53"/>
      <c r="Q19" s="58"/>
      <c r="R19" s="55">
        <v>15</v>
      </c>
      <c r="S19" s="53"/>
      <c r="T19" s="58"/>
      <c r="U19" s="58"/>
      <c r="V19" s="44"/>
      <c r="W19" s="44"/>
      <c r="X19" s="57">
        <v>1.4999999999999999E-2</v>
      </c>
      <c r="Y19" s="43">
        <f t="shared" si="2"/>
        <v>1.7</v>
      </c>
      <c r="Z19" s="44"/>
      <c r="AA19" s="44"/>
      <c r="AB19" s="44"/>
    </row>
    <row r="20" spans="1:28" s="35" customFormat="1">
      <c r="A20" s="44"/>
      <c r="B20" s="44"/>
      <c r="C20" s="44"/>
      <c r="D20" s="44"/>
      <c r="E20" s="44"/>
      <c r="F20" s="44"/>
      <c r="G20" s="44"/>
      <c r="H20" s="44"/>
      <c r="I20" s="44"/>
      <c r="J20" s="44"/>
      <c r="K20" s="44">
        <v>323.66000000000003</v>
      </c>
      <c r="L20" s="44"/>
      <c r="M20" s="44"/>
      <c r="N20" s="52">
        <v>44988</v>
      </c>
      <c r="O20" s="52">
        <v>45291</v>
      </c>
      <c r="P20" s="53"/>
      <c r="Q20" s="58"/>
      <c r="R20" s="55">
        <v>15</v>
      </c>
      <c r="S20" s="53"/>
      <c r="T20" s="58"/>
      <c r="U20" s="58"/>
      <c r="V20" s="44"/>
      <c r="W20" s="44"/>
      <c r="X20" s="57">
        <v>1.4999999999999999E-2</v>
      </c>
      <c r="Y20" s="43">
        <f t="shared" si="2"/>
        <v>4.04</v>
      </c>
      <c r="Z20" s="44"/>
      <c r="AA20" s="44"/>
      <c r="AB20" s="44"/>
    </row>
    <row r="21" spans="1:28" s="35" customFormat="1">
      <c r="A21" s="44"/>
      <c r="B21" s="44"/>
      <c r="C21" s="44"/>
      <c r="D21" s="44"/>
      <c r="E21" s="44"/>
      <c r="F21" s="44"/>
      <c r="G21" s="44"/>
      <c r="H21" s="44"/>
      <c r="I21" s="44"/>
      <c r="J21" s="44"/>
      <c r="K21" s="44">
        <v>55</v>
      </c>
      <c r="L21" s="44"/>
      <c r="M21" s="44"/>
      <c r="N21" s="52">
        <v>45000</v>
      </c>
      <c r="O21" s="52">
        <v>45291</v>
      </c>
      <c r="P21" s="53"/>
      <c r="Q21" s="58"/>
      <c r="R21" s="55">
        <v>15</v>
      </c>
      <c r="S21" s="53"/>
      <c r="T21" s="58"/>
      <c r="U21" s="58"/>
      <c r="V21" s="44"/>
      <c r="W21" s="44"/>
      <c r="X21" s="57">
        <v>1.4999999999999999E-2</v>
      </c>
      <c r="Y21" s="43">
        <f t="shared" si="2"/>
        <v>0.66</v>
      </c>
      <c r="Z21" s="44"/>
      <c r="AA21" s="44"/>
      <c r="AB21" s="44"/>
    </row>
    <row r="22" spans="1:28" s="35" customFormat="1">
      <c r="A22" s="44"/>
      <c r="B22" s="44"/>
      <c r="C22" s="44"/>
      <c r="D22" s="44"/>
      <c r="E22" s="44"/>
      <c r="F22" s="44"/>
      <c r="G22" s="44"/>
      <c r="H22" s="44"/>
      <c r="I22" s="44"/>
      <c r="J22" s="44"/>
      <c r="K22" s="44">
        <v>180.3</v>
      </c>
      <c r="L22" s="44"/>
      <c r="M22" s="44"/>
      <c r="N22" s="52">
        <v>45009</v>
      </c>
      <c r="O22" s="52">
        <v>45291</v>
      </c>
      <c r="P22" s="53"/>
      <c r="Q22" s="58"/>
      <c r="R22" s="55">
        <v>15</v>
      </c>
      <c r="S22" s="53"/>
      <c r="T22" s="58"/>
      <c r="U22" s="58"/>
      <c r="V22" s="44"/>
      <c r="W22" s="44"/>
      <c r="X22" s="57">
        <v>1.4999999999999999E-2</v>
      </c>
      <c r="Y22" s="43">
        <f t="shared" si="2"/>
        <v>2.09</v>
      </c>
      <c r="Z22" s="44"/>
      <c r="AA22" s="44"/>
      <c r="AB22" s="44"/>
    </row>
    <row r="23" spans="1:28" s="35" customFormat="1">
      <c r="A23" s="44"/>
      <c r="B23" s="44"/>
      <c r="C23" s="44"/>
      <c r="D23" s="44"/>
      <c r="E23" s="44"/>
      <c r="F23" s="44"/>
      <c r="G23" s="44"/>
      <c r="H23" s="44"/>
      <c r="I23" s="44"/>
      <c r="J23" s="44"/>
      <c r="K23" s="44">
        <v>118.51</v>
      </c>
      <c r="L23" s="44"/>
      <c r="M23" s="44"/>
      <c r="N23" s="52">
        <v>45033</v>
      </c>
      <c r="O23" s="52">
        <v>45291</v>
      </c>
      <c r="P23" s="53"/>
      <c r="Q23" s="58"/>
      <c r="R23" s="55">
        <v>15</v>
      </c>
      <c r="S23" s="53"/>
      <c r="T23" s="58"/>
      <c r="U23" s="58"/>
      <c r="V23" s="44"/>
      <c r="W23" s="44"/>
      <c r="X23" s="57">
        <v>1.4999999999999999E-2</v>
      </c>
      <c r="Y23" s="43">
        <f t="shared" si="2"/>
        <v>1.26</v>
      </c>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成都美奢锐新材料有限公司</v>
      </c>
      <c r="C27" s="43" t="str">
        <f t="shared" ref="C27:G27" si="3">C4</f>
        <v>龙泉驿区行政审批局</v>
      </c>
      <c r="D27" s="43" t="str">
        <f t="shared" si="3"/>
        <v>91510112050096549J</v>
      </c>
      <c r="E27" s="43" t="str">
        <f t="shared" si="3"/>
        <v>民营企业</v>
      </c>
      <c r="F27" s="43" t="str">
        <f t="shared" si="3"/>
        <v>龙泉驿区税务局大面税务所</v>
      </c>
      <c r="G27" s="43" t="str">
        <f t="shared" si="3"/>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成都美奢锐新材料有限公司</v>
      </c>
      <c r="C49" s="43" t="str">
        <f t="shared" ref="C49:G49" si="4">C27</f>
        <v>龙泉驿区行政审批局</v>
      </c>
      <c r="D49" s="43" t="str">
        <f t="shared" si="4"/>
        <v>91510112050096549J</v>
      </c>
      <c r="E49" s="43" t="str">
        <f t="shared" si="4"/>
        <v>民营企业</v>
      </c>
      <c r="F49" s="43" t="str">
        <f t="shared" si="4"/>
        <v>龙泉驿区税务局大面税务所</v>
      </c>
      <c r="G49" s="43" t="str">
        <f t="shared" si="4"/>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成都美奢锐新材料有限公司</v>
      </c>
      <c r="C71" s="43" t="str">
        <f t="shared" ref="C71:G71" si="5">C49</f>
        <v>龙泉驿区行政审批局</v>
      </c>
      <c r="D71" s="43" t="str">
        <f t="shared" si="5"/>
        <v>91510112050096549J</v>
      </c>
      <c r="E71" s="43" t="str">
        <f t="shared" si="5"/>
        <v>民营企业</v>
      </c>
      <c r="F71" s="43" t="str">
        <f t="shared" si="5"/>
        <v>龙泉驿区税务局大面税务所</v>
      </c>
      <c r="G71" s="43" t="str">
        <f t="shared" si="5"/>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成都美奢锐新材料有限公司</v>
      </c>
      <c r="C93" s="43" t="str">
        <f t="shared" ref="C93:G93" si="6">C71</f>
        <v>龙泉驿区行政审批局</v>
      </c>
      <c r="D93" s="43" t="str">
        <f t="shared" si="6"/>
        <v>91510112050096549J</v>
      </c>
      <c r="E93" s="43" t="str">
        <f t="shared" si="6"/>
        <v>民营企业</v>
      </c>
      <c r="F93" s="43" t="str">
        <f t="shared" si="6"/>
        <v>龙泉驿区税务局大面税务所</v>
      </c>
      <c r="G93" s="43" t="str">
        <f t="shared" si="6"/>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AC117"/>
  <sheetViews>
    <sheetView topLeftCell="N1" zoomScale="90" zoomScaleNormal="90" workbookViewId="0">
      <pane ySplit="3" topLeftCell="A4" activePane="bottomLeft" state="frozen"/>
      <selection pane="bottomLeft" activeCell="L14" sqref="L1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成都赛林斯科技实业有限公司审计明细表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647</v>
      </c>
      <c r="C4" s="43" t="s">
        <v>1310</v>
      </c>
      <c r="D4" s="49" t="s">
        <v>1341</v>
      </c>
      <c r="E4" s="43" t="s">
        <v>303</v>
      </c>
      <c r="F4" s="43" t="s">
        <v>1290</v>
      </c>
      <c r="G4" s="43" t="s">
        <v>1229</v>
      </c>
      <c r="H4" s="43" t="s">
        <v>71</v>
      </c>
      <c r="I4" s="43" t="s">
        <v>1342</v>
      </c>
      <c r="J4" s="43" t="s">
        <v>73</v>
      </c>
      <c r="K4" s="43">
        <v>590</v>
      </c>
      <c r="L4" s="43" t="s">
        <v>1343</v>
      </c>
      <c r="M4" s="49" t="s">
        <v>1344</v>
      </c>
      <c r="N4" s="65">
        <v>45195</v>
      </c>
      <c r="O4" s="65">
        <v>45291</v>
      </c>
      <c r="P4" s="43">
        <f>P7-N4</f>
        <v>86</v>
      </c>
      <c r="Q4" s="55">
        <f>SUM(Q5:Q26)</f>
        <v>4.8600000000000003</v>
      </c>
      <c r="R4" s="55">
        <v>2.06</v>
      </c>
      <c r="S4" s="43"/>
      <c r="T4" s="55">
        <f>SUM(T5:T26)</f>
        <v>4.8600000000000003</v>
      </c>
      <c r="U4" s="56">
        <v>3.4500000000000003E-2</v>
      </c>
      <c r="V4" s="50"/>
      <c r="W4" s="43" t="s">
        <v>42</v>
      </c>
      <c r="X4" s="57">
        <v>1.4999999999999999E-2</v>
      </c>
      <c r="Y4" s="43">
        <f>ROUNDDOWN(IF((O4-N4+1)*K4*X4/365&gt;R4,R4,(O4-N4+1)*K4*X4/365),2)</f>
        <v>2.06</v>
      </c>
      <c r="Z4" s="55">
        <f>R4-Y4</f>
        <v>0</v>
      </c>
      <c r="AA4" s="55"/>
      <c r="AB4" s="43" t="s">
        <v>61</v>
      </c>
    </row>
    <row r="5" spans="1:29" s="35" customFormat="1">
      <c r="A5" s="44"/>
      <c r="B5" s="44"/>
      <c r="C5" s="44"/>
      <c r="D5" s="44"/>
      <c r="E5" s="44"/>
      <c r="F5" s="44"/>
      <c r="G5" s="44"/>
      <c r="H5" s="44"/>
      <c r="I5" s="44"/>
      <c r="J5" s="44"/>
      <c r="K5" s="44"/>
      <c r="L5" s="44"/>
      <c r="M5" s="63"/>
      <c r="N5" s="52"/>
      <c r="O5" s="52">
        <v>45555</v>
      </c>
      <c r="P5" s="53">
        <v>45220</v>
      </c>
      <c r="Q5" s="58">
        <v>1.41</v>
      </c>
      <c r="R5" s="44"/>
      <c r="S5" s="53">
        <v>45220</v>
      </c>
      <c r="T5" s="58">
        <f>(S5-N4)/360*$U$4*$K$4</f>
        <v>1.41</v>
      </c>
      <c r="U5" s="58">
        <f>T5-Q5</f>
        <v>0</v>
      </c>
      <c r="V5" s="52"/>
      <c r="W5" s="44"/>
      <c r="X5" s="44"/>
      <c r="Y5" s="62"/>
      <c r="Z5" s="44"/>
      <c r="AA5" s="44"/>
      <c r="AB5" s="44"/>
    </row>
    <row r="6" spans="1:29" s="35" customFormat="1">
      <c r="A6" s="44"/>
      <c r="B6" s="44"/>
      <c r="C6" s="44"/>
      <c r="D6" s="44"/>
      <c r="E6" s="44"/>
      <c r="F6" s="44"/>
      <c r="G6" s="44"/>
      <c r="H6" s="44"/>
      <c r="I6" s="44"/>
      <c r="J6" s="44"/>
      <c r="K6" s="44"/>
      <c r="L6" s="44"/>
      <c r="M6" s="63"/>
      <c r="N6" s="52"/>
      <c r="O6" s="53"/>
      <c r="P6" s="53">
        <v>45251</v>
      </c>
      <c r="Q6" s="58">
        <v>1.75</v>
      </c>
      <c r="R6" s="44"/>
      <c r="S6" s="53">
        <v>45251</v>
      </c>
      <c r="T6" s="58">
        <f>(S6-S5)/360*$U$4*$K$4</f>
        <v>1.75</v>
      </c>
      <c r="U6" s="58">
        <f>T6-Q6</f>
        <v>0</v>
      </c>
      <c r="V6" s="52"/>
      <c r="W6" s="44"/>
      <c r="X6" s="44"/>
      <c r="Y6" s="62"/>
      <c r="Z6" s="44"/>
      <c r="AA6" s="44"/>
      <c r="AB6" s="44"/>
    </row>
    <row r="7" spans="1:29" s="35" customFormat="1">
      <c r="A7" s="44"/>
      <c r="B7" s="44"/>
      <c r="C7" s="44"/>
      <c r="D7" s="44"/>
      <c r="E7" s="44"/>
      <c r="F7" s="44"/>
      <c r="G7" s="44"/>
      <c r="H7" s="44"/>
      <c r="I7" s="44"/>
      <c r="J7" s="44"/>
      <c r="K7" s="44"/>
      <c r="L7" s="44"/>
      <c r="M7" s="44"/>
      <c r="N7" s="52"/>
      <c r="O7" s="53"/>
      <c r="P7" s="53">
        <v>45281</v>
      </c>
      <c r="Q7" s="58">
        <v>1.7</v>
      </c>
      <c r="R7" s="44"/>
      <c r="S7" s="53">
        <v>45281</v>
      </c>
      <c r="T7" s="58">
        <f>(S7-S6)*$K$4*$U$4/360</f>
        <v>1.7</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成都赛林斯科技实业有限公司</v>
      </c>
      <c r="C27" s="43" t="str">
        <f t="shared" ref="C27:G27" si="0">C4</f>
        <v>龙泉驿区市场和质量监督管理局</v>
      </c>
      <c r="D27" s="43" t="str">
        <f t="shared" si="0"/>
        <v>91510112774526436M</v>
      </c>
      <c r="E27" s="43" t="str">
        <f t="shared" si="0"/>
        <v>私营有限责任公司</v>
      </c>
      <c r="F27" s="43" t="str">
        <f t="shared" si="0"/>
        <v>龙泉驿区税务局</v>
      </c>
      <c r="G27" s="43" t="str">
        <f t="shared" si="0"/>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成都赛林斯科技实业有限公司</v>
      </c>
      <c r="C49" s="43" t="str">
        <f t="shared" ref="C49:G49" si="1">C27</f>
        <v>龙泉驿区市场和质量监督管理局</v>
      </c>
      <c r="D49" s="43" t="str">
        <f t="shared" si="1"/>
        <v>91510112774526436M</v>
      </c>
      <c r="E49" s="43" t="str">
        <f t="shared" si="1"/>
        <v>私营有限责任公司</v>
      </c>
      <c r="F49" s="43" t="str">
        <f t="shared" si="1"/>
        <v>龙泉驿区税务局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成都赛林斯科技实业有限公司</v>
      </c>
      <c r="C71" s="43" t="str">
        <f t="shared" ref="C71:G71" si="2">C49</f>
        <v>龙泉驿区市场和质量监督管理局</v>
      </c>
      <c r="D71" s="43" t="str">
        <f t="shared" si="2"/>
        <v>91510112774526436M</v>
      </c>
      <c r="E71" s="43" t="str">
        <f t="shared" si="2"/>
        <v>私营有限责任公司</v>
      </c>
      <c r="F71" s="43" t="str">
        <f t="shared" si="2"/>
        <v>龙泉驿区税务局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成都赛林斯科技实业有限公司</v>
      </c>
      <c r="C93" s="43" t="str">
        <f t="shared" ref="C93:G93" si="3">C71</f>
        <v>龙泉驿区市场和质量监督管理局</v>
      </c>
      <c r="D93" s="43" t="str">
        <f t="shared" si="3"/>
        <v>91510112774526436M</v>
      </c>
      <c r="E93" s="43" t="str">
        <f t="shared" si="3"/>
        <v>私营有限责任公司</v>
      </c>
      <c r="F93" s="43" t="str">
        <f t="shared" si="3"/>
        <v>龙泉驿区税务局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590</v>
      </c>
      <c r="L115" s="43"/>
      <c r="M115" s="43"/>
      <c r="N115" s="50"/>
      <c r="O115" s="50"/>
      <c r="P115" s="43"/>
      <c r="Q115" s="43"/>
      <c r="R115" s="43"/>
      <c r="S115" s="43"/>
      <c r="T115" s="43"/>
      <c r="U115" s="43"/>
      <c r="V115" s="43"/>
      <c r="W115" s="43"/>
      <c r="X115" s="43"/>
      <c r="Y115" s="43">
        <f>Y93+Y71+Y49+Y27++Y4</f>
        <v>2.06</v>
      </c>
      <c r="Z115" s="43"/>
      <c r="AA115" s="43"/>
      <c r="AB115" s="43"/>
    </row>
    <row r="116" spans="1:28">
      <c r="I116" s="36" t="s">
        <v>49</v>
      </c>
      <c r="K116" s="36">
        <f>IF(K115&gt;3000,K117,K115)</f>
        <v>590</v>
      </c>
    </row>
    <row r="117" spans="1:28" hidden="1">
      <c r="K117" s="36">
        <f>IF(K116&gt;3000,K118,K116)</f>
        <v>590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AC117"/>
  <sheetViews>
    <sheetView workbookViewId="0">
      <pane ySplit="3" topLeftCell="A4" activePane="bottomLeft" state="frozen"/>
      <selection pane="bottomLeft" activeCell="J5" sqref="J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四川千页科技股份有限公司审计明细表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716</v>
      </c>
      <c r="C4" s="43" t="s">
        <v>52</v>
      </c>
      <c r="D4" s="49" t="s">
        <v>1345</v>
      </c>
      <c r="E4" s="43" t="s">
        <v>54</v>
      </c>
      <c r="F4" s="43" t="s">
        <v>1290</v>
      </c>
      <c r="G4" s="43" t="s">
        <v>1229</v>
      </c>
      <c r="H4" s="43" t="s">
        <v>958</v>
      </c>
      <c r="I4" s="43" t="s">
        <v>1346</v>
      </c>
      <c r="J4" s="43" t="s">
        <v>73</v>
      </c>
      <c r="K4" s="43">
        <v>300</v>
      </c>
      <c r="L4" s="43" t="s">
        <v>1347</v>
      </c>
      <c r="M4" s="49" t="s">
        <v>1348</v>
      </c>
      <c r="N4" s="65">
        <v>45266</v>
      </c>
      <c r="O4" s="65">
        <v>45291</v>
      </c>
      <c r="P4" s="43">
        <f>P6-N4</f>
        <v>45</v>
      </c>
      <c r="Q4" s="55">
        <f>SUM(Q5:Q26)</f>
        <v>1.35</v>
      </c>
      <c r="R4" s="55">
        <v>0.21</v>
      </c>
      <c r="S4" s="43"/>
      <c r="T4" s="55">
        <f>SUM(T5:T26)</f>
        <v>1.35</v>
      </c>
      <c r="U4" s="56">
        <v>3.5999999999999997E-2</v>
      </c>
      <c r="V4" s="50"/>
      <c r="W4" s="43" t="s">
        <v>42</v>
      </c>
      <c r="X4" s="57">
        <v>0.01</v>
      </c>
      <c r="Y4" s="43">
        <f>ROUNDDOWN(IF((O4-N4+1)*K4*X4/365&gt;R4,R4,(O4-N4+1)*K4*X4/365),2)</f>
        <v>0.21</v>
      </c>
      <c r="Z4" s="55">
        <f>R4-Y4</f>
        <v>0</v>
      </c>
      <c r="AA4" s="55"/>
      <c r="AB4" s="43" t="s">
        <v>61</v>
      </c>
    </row>
    <row r="5" spans="1:29" s="35" customFormat="1">
      <c r="A5" s="44"/>
      <c r="B5" s="44"/>
      <c r="C5" s="44"/>
      <c r="D5" s="44"/>
      <c r="E5" s="44"/>
      <c r="F5" s="44"/>
      <c r="G5" s="44"/>
      <c r="H5" s="44"/>
      <c r="I5" s="44"/>
      <c r="J5" s="44"/>
      <c r="K5" s="44"/>
      <c r="L5" s="44"/>
      <c r="M5" s="63"/>
      <c r="N5" s="52"/>
      <c r="O5" s="52">
        <v>45631</v>
      </c>
      <c r="P5" s="53">
        <v>45280</v>
      </c>
      <c r="Q5" s="58">
        <v>0.42</v>
      </c>
      <c r="R5" s="44"/>
      <c r="S5" s="53">
        <v>45280</v>
      </c>
      <c r="T5" s="58">
        <f>(S5-N4)/360*$U$4*$K$4</f>
        <v>0.42</v>
      </c>
      <c r="U5" s="58">
        <f>T5-Q5</f>
        <v>0</v>
      </c>
      <c r="V5" s="52"/>
      <c r="W5" s="44"/>
      <c r="X5" s="44"/>
      <c r="Y5" s="62"/>
      <c r="Z5" s="44"/>
      <c r="AA5" s="44"/>
      <c r="AB5" s="44"/>
    </row>
    <row r="6" spans="1:29" s="35" customFormat="1">
      <c r="A6" s="44"/>
      <c r="B6" s="44"/>
      <c r="C6" s="44"/>
      <c r="D6" s="44"/>
      <c r="E6" s="44"/>
      <c r="F6" s="44"/>
      <c r="G6" s="44"/>
      <c r="H6" s="44"/>
      <c r="I6" s="44"/>
      <c r="J6" s="44"/>
      <c r="K6" s="44"/>
      <c r="L6" s="44"/>
      <c r="M6" s="63"/>
      <c r="N6" s="52"/>
      <c r="O6" s="53"/>
      <c r="P6" s="53">
        <v>45311</v>
      </c>
      <c r="Q6" s="58">
        <v>0.93</v>
      </c>
      <c r="R6" s="44"/>
      <c r="S6" s="53">
        <v>45311</v>
      </c>
      <c r="T6" s="58">
        <f>(S6-S5)/360*$U$4*$K$4</f>
        <v>0.93</v>
      </c>
      <c r="U6" s="58">
        <f>T6-Q6</f>
        <v>0</v>
      </c>
      <c r="V6" s="52"/>
      <c r="W6" s="44"/>
      <c r="X6" s="44"/>
      <c r="Y6" s="62"/>
      <c r="Z6" s="44"/>
      <c r="AA6" s="44"/>
      <c r="AB6" s="44"/>
    </row>
    <row r="7" spans="1:29" s="35" customFormat="1">
      <c r="A7" s="44"/>
      <c r="B7" s="44"/>
      <c r="C7" s="44"/>
      <c r="D7" s="44"/>
      <c r="E7" s="44"/>
      <c r="F7" s="44"/>
      <c r="G7" s="44"/>
      <c r="H7" s="44"/>
      <c r="I7" s="44"/>
      <c r="J7" s="44"/>
      <c r="K7" s="44"/>
      <c r="L7" s="44"/>
      <c r="M7" s="44"/>
      <c r="N7" s="52"/>
      <c r="O7" s="53"/>
      <c r="P7" s="53"/>
      <c r="Q7" s="58"/>
      <c r="R7" s="44"/>
      <c r="S7" s="53"/>
      <c r="T7" s="58"/>
      <c r="U7" s="58"/>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四川千页科技股份有限公司</v>
      </c>
      <c r="C27" s="43" t="str">
        <f t="shared" ref="C27:G27" si="0">C4</f>
        <v>成都市市场监督管理局</v>
      </c>
      <c r="D27" s="43" t="str">
        <f t="shared" si="0"/>
        <v>91510122MA6CTWY352</v>
      </c>
      <c r="E27" s="43" t="str">
        <f t="shared" si="0"/>
        <v>股份有限公司</v>
      </c>
      <c r="F27" s="43" t="str">
        <f t="shared" si="0"/>
        <v>龙泉驿区税务局</v>
      </c>
      <c r="G27" s="43" t="str">
        <f t="shared" si="0"/>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四川千页科技股份有限公司</v>
      </c>
      <c r="C49" s="43" t="str">
        <f t="shared" ref="C49:G49" si="1">C27</f>
        <v>成都市市场监督管理局</v>
      </c>
      <c r="D49" s="43" t="str">
        <f t="shared" si="1"/>
        <v>91510122MA6CTWY352</v>
      </c>
      <c r="E49" s="43" t="str">
        <f t="shared" si="1"/>
        <v>股份有限公司</v>
      </c>
      <c r="F49" s="43" t="str">
        <f t="shared" si="1"/>
        <v>龙泉驿区税务局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四川千页科技股份有限公司</v>
      </c>
      <c r="C71" s="43" t="str">
        <f t="shared" ref="C71:G71" si="2">C49</f>
        <v>成都市市场监督管理局</v>
      </c>
      <c r="D71" s="43" t="str">
        <f t="shared" si="2"/>
        <v>91510122MA6CTWY352</v>
      </c>
      <c r="E71" s="43" t="str">
        <f t="shared" si="2"/>
        <v>股份有限公司</v>
      </c>
      <c r="F71" s="43" t="str">
        <f t="shared" si="2"/>
        <v>龙泉驿区税务局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四川千页科技股份有限公司</v>
      </c>
      <c r="C93" s="43" t="str">
        <f t="shared" ref="C93:G93" si="3">C71</f>
        <v>成都市市场监督管理局</v>
      </c>
      <c r="D93" s="43" t="str">
        <f t="shared" si="3"/>
        <v>91510122MA6CTWY352</v>
      </c>
      <c r="E93" s="43" t="str">
        <f t="shared" si="3"/>
        <v>股份有限公司</v>
      </c>
      <c r="F93" s="43" t="str">
        <f t="shared" si="3"/>
        <v>龙泉驿区税务局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v>
      </c>
      <c r="L115" s="43"/>
      <c r="M115" s="43"/>
      <c r="N115" s="50"/>
      <c r="O115" s="50"/>
      <c r="P115" s="43"/>
      <c r="Q115" s="43"/>
      <c r="R115" s="43"/>
      <c r="S115" s="43"/>
      <c r="T115" s="43"/>
      <c r="U115" s="43"/>
      <c r="V115" s="43"/>
      <c r="W115" s="43"/>
      <c r="X115" s="43"/>
      <c r="Y115" s="43">
        <f>Y93+Y71+Y49+Y27++Y4</f>
        <v>0.21</v>
      </c>
      <c r="Z115" s="43"/>
      <c r="AA115" s="43"/>
      <c r="AB115" s="43"/>
    </row>
    <row r="116" spans="1:28">
      <c r="I116" s="36" t="s">
        <v>49</v>
      </c>
      <c r="K116" s="36">
        <f>IF(K115&gt;3000,K117,K115)</f>
        <v>300</v>
      </c>
    </row>
    <row r="117" spans="1:28" hidden="1">
      <c r="K117" s="36">
        <f>IF(K116&gt;3000,K118,K116)</f>
        <v>300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AC117"/>
  <sheetViews>
    <sheetView topLeftCell="D1" workbookViewId="0">
      <pane ySplit="3" topLeftCell="A10"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海瑞克(成都)隧道设备有限公司审计明细表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689</v>
      </c>
      <c r="C4" s="43" t="s">
        <v>1288</v>
      </c>
      <c r="D4" s="49" t="s">
        <v>1349</v>
      </c>
      <c r="E4" s="43" t="s">
        <v>1350</v>
      </c>
      <c r="F4" s="43" t="s">
        <v>1290</v>
      </c>
      <c r="G4" s="43" t="s">
        <v>1229</v>
      </c>
      <c r="H4" s="43" t="s">
        <v>71</v>
      </c>
      <c r="I4" s="43" t="s">
        <v>1342</v>
      </c>
      <c r="J4" s="43" t="s">
        <v>73</v>
      </c>
      <c r="K4" s="43">
        <v>1000</v>
      </c>
      <c r="L4" s="43" t="s">
        <v>1351</v>
      </c>
      <c r="M4" s="49" t="s">
        <v>1352</v>
      </c>
      <c r="N4" s="65">
        <v>45091</v>
      </c>
      <c r="O4" s="65">
        <v>45291</v>
      </c>
      <c r="P4" s="43">
        <f>P12-N4</f>
        <v>221</v>
      </c>
      <c r="Q4" s="55">
        <f>SUM(Q5:Q26)</f>
        <v>18.399999999999999</v>
      </c>
      <c r="R4" s="55">
        <v>8.3699999999999992</v>
      </c>
      <c r="S4" s="43"/>
      <c r="T4" s="55">
        <f>SUM(T5:T26)</f>
        <v>18.399999999999999</v>
      </c>
      <c r="U4" s="56">
        <v>0.03</v>
      </c>
      <c r="V4" s="50"/>
      <c r="W4" s="43" t="s">
        <v>42</v>
      </c>
      <c r="X4" s="57">
        <v>1.4999999999999999E-2</v>
      </c>
      <c r="Y4" s="43">
        <f>ROUNDDOWN(IF((O4-N4+1)*K4*X4/365&gt;R4,R4,(O4-N4+1)*K4*X4/365),2)</f>
        <v>8.26</v>
      </c>
      <c r="Z4" s="55">
        <f>R4-Y4</f>
        <v>0.11</v>
      </c>
      <c r="AA4" s="55" t="s">
        <v>1294</v>
      </c>
      <c r="AB4" s="43" t="s">
        <v>61</v>
      </c>
    </row>
    <row r="5" spans="1:29" s="35" customFormat="1">
      <c r="A5" s="44"/>
      <c r="B5" s="44"/>
      <c r="C5" s="44"/>
      <c r="D5" s="44"/>
      <c r="E5" s="44"/>
      <c r="F5" s="44"/>
      <c r="G5" s="44"/>
      <c r="H5" s="44"/>
      <c r="I5" s="44"/>
      <c r="J5" s="44"/>
      <c r="K5" s="44"/>
      <c r="L5" s="44"/>
      <c r="M5" s="63"/>
      <c r="N5" s="52"/>
      <c r="O5" s="65">
        <v>45456</v>
      </c>
      <c r="P5" s="53">
        <v>45098</v>
      </c>
      <c r="Q5" s="58">
        <v>0.57999999999999996</v>
      </c>
      <c r="R5" s="44"/>
      <c r="S5" s="53">
        <v>45098</v>
      </c>
      <c r="T5" s="58">
        <f>(S5-N4)/360*$U$4*$K$4</f>
        <v>0.57999999999999996</v>
      </c>
      <c r="U5" s="58">
        <f>T5-Q5</f>
        <v>0</v>
      </c>
      <c r="V5" s="52"/>
      <c r="W5" s="44"/>
      <c r="X5" s="44"/>
      <c r="Y5" s="62"/>
      <c r="Z5" s="44"/>
      <c r="AA5" s="44"/>
      <c r="AB5" s="44"/>
    </row>
    <row r="6" spans="1:29" s="35" customFormat="1">
      <c r="A6" s="44"/>
      <c r="B6" s="44"/>
      <c r="C6" s="44"/>
      <c r="D6" s="44"/>
      <c r="E6" s="44"/>
      <c r="F6" s="44"/>
      <c r="G6" s="44"/>
      <c r="H6" s="44"/>
      <c r="I6" s="44"/>
      <c r="J6" s="44"/>
      <c r="K6" s="44"/>
      <c r="L6" s="44"/>
      <c r="M6" s="63"/>
      <c r="N6" s="52"/>
      <c r="O6" s="53"/>
      <c r="P6" s="53">
        <v>45128</v>
      </c>
      <c r="Q6" s="58">
        <v>2.5</v>
      </c>
      <c r="R6" s="44"/>
      <c r="S6" s="53">
        <v>45128</v>
      </c>
      <c r="T6" s="58">
        <f>(S6-S5)/360*$U$4*$K$4</f>
        <v>2.5</v>
      </c>
      <c r="U6" s="58">
        <f>T6-Q6</f>
        <v>0</v>
      </c>
      <c r="V6" s="52"/>
      <c r="W6" s="44"/>
      <c r="X6" s="44"/>
      <c r="Y6" s="62"/>
      <c r="Z6" s="44"/>
      <c r="AA6" s="44"/>
      <c r="AB6" s="44"/>
    </row>
    <row r="7" spans="1:29" s="35" customFormat="1">
      <c r="A7" s="44"/>
      <c r="B7" s="44"/>
      <c r="C7" s="44"/>
      <c r="D7" s="44"/>
      <c r="E7" s="44"/>
      <c r="F7" s="44"/>
      <c r="G7" s="44"/>
      <c r="H7" s="44"/>
      <c r="I7" s="44"/>
      <c r="J7" s="44"/>
      <c r="K7" s="44"/>
      <c r="L7" s="44"/>
      <c r="M7" s="44"/>
      <c r="N7" s="52"/>
      <c r="O7" s="53"/>
      <c r="P7" s="53">
        <v>45159</v>
      </c>
      <c r="Q7" s="58">
        <v>2.58</v>
      </c>
      <c r="R7" s="44"/>
      <c r="S7" s="53">
        <v>45159</v>
      </c>
      <c r="T7" s="58">
        <f>(S7-S6)/360*$U$4*$K$4</f>
        <v>2.58</v>
      </c>
      <c r="U7" s="58">
        <f t="shared" ref="U7:U12" si="0">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45190</v>
      </c>
      <c r="Q8" s="58">
        <v>2.58</v>
      </c>
      <c r="R8" s="44"/>
      <c r="S8" s="53">
        <v>45190</v>
      </c>
      <c r="T8" s="58">
        <f t="shared" ref="T8:T12" si="1">(S8-S7)/360*$U$4*$K$4</f>
        <v>2.58</v>
      </c>
      <c r="U8" s="58">
        <f t="shared" si="0"/>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45220</v>
      </c>
      <c r="Q9" s="58">
        <v>2.5</v>
      </c>
      <c r="R9" s="44"/>
      <c r="S9" s="53">
        <v>45220</v>
      </c>
      <c r="T9" s="58">
        <f t="shared" si="1"/>
        <v>2.5</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45251</v>
      </c>
      <c r="Q10" s="58">
        <v>2.58</v>
      </c>
      <c r="R10" s="44"/>
      <c r="S10" s="53">
        <v>45251</v>
      </c>
      <c r="T10" s="58">
        <f t="shared" si="1"/>
        <v>2.58</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45281</v>
      </c>
      <c r="Q11" s="58">
        <v>2.5</v>
      </c>
      <c r="R11" s="44"/>
      <c r="S11" s="53">
        <v>45281</v>
      </c>
      <c r="T11" s="58">
        <f t="shared" si="1"/>
        <v>2.5</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45312</v>
      </c>
      <c r="Q12" s="58">
        <v>2.58</v>
      </c>
      <c r="R12" s="44"/>
      <c r="S12" s="53">
        <v>45312</v>
      </c>
      <c r="T12" s="58">
        <f t="shared" si="1"/>
        <v>2.58</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海瑞克(成都)隧道设备有限公司</v>
      </c>
      <c r="C27" s="43" t="str">
        <f t="shared" ref="C27:G27" si="2">C4</f>
        <v>龙泉驿区行政审批局</v>
      </c>
      <c r="D27" s="43" t="str">
        <f t="shared" si="2"/>
        <v>91510112768648971X</v>
      </c>
      <c r="E27" s="43" t="str">
        <f t="shared" si="2"/>
        <v>外资企业</v>
      </c>
      <c r="F27" s="43" t="str">
        <f t="shared" si="2"/>
        <v>龙泉驿区税务局</v>
      </c>
      <c r="G27" s="43" t="str">
        <f t="shared" si="2"/>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海瑞克(成都)隧道设备有限公司</v>
      </c>
      <c r="C49" s="43" t="str">
        <f t="shared" ref="C49:G49" si="3">C27</f>
        <v>龙泉驿区行政审批局</v>
      </c>
      <c r="D49" s="43" t="str">
        <f t="shared" si="3"/>
        <v>91510112768648971X</v>
      </c>
      <c r="E49" s="43" t="str">
        <f t="shared" si="3"/>
        <v>外资企业</v>
      </c>
      <c r="F49" s="43" t="str">
        <f t="shared" si="3"/>
        <v>龙泉驿区税务局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海瑞克(成都)隧道设备有限公司</v>
      </c>
      <c r="C71" s="43" t="str">
        <f t="shared" ref="C71:G71" si="4">C49</f>
        <v>龙泉驿区行政审批局</v>
      </c>
      <c r="D71" s="43" t="str">
        <f t="shared" si="4"/>
        <v>91510112768648971X</v>
      </c>
      <c r="E71" s="43" t="str">
        <f t="shared" si="4"/>
        <v>外资企业</v>
      </c>
      <c r="F71" s="43" t="str">
        <f t="shared" si="4"/>
        <v>龙泉驿区税务局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海瑞克(成都)隧道设备有限公司</v>
      </c>
      <c r="C93" s="43" t="str">
        <f t="shared" ref="C93:G93" si="5">C71</f>
        <v>龙泉驿区行政审批局</v>
      </c>
      <c r="D93" s="43" t="str">
        <f t="shared" si="5"/>
        <v>91510112768648971X</v>
      </c>
      <c r="E93" s="43" t="str">
        <f t="shared" si="5"/>
        <v>外资企业</v>
      </c>
      <c r="F93" s="43" t="str">
        <f t="shared" si="5"/>
        <v>龙泉驿区税务局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8.26</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AG117"/>
  <sheetViews>
    <sheetView topLeftCell="R1" workbookViewId="0">
      <pane ySplit="3" topLeftCell="A4" activePane="bottomLeft" state="frozen"/>
      <selection pane="bottomLeft" activeCell="AF4" sqref="AF4:AG4"/>
    </sheetView>
  </sheetViews>
  <sheetFormatPr defaultColWidth="9" defaultRowHeight="14"/>
  <cols>
    <col min="1" max="6" width="9" style="36"/>
    <col min="7" max="7" width="9" style="36" hidden="1" customWidth="1"/>
    <col min="8" max="12" width="9" style="36"/>
    <col min="13" max="13" width="1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33" ht="25">
      <c r="B1" s="163" t="str">
        <f>B4&amp;AC1</f>
        <v>成都宏科电子科技有限公司审计明细表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3"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3"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33" s="34" customFormat="1" ht="126">
      <c r="A4" s="43">
        <v>1</v>
      </c>
      <c r="B4" s="43" t="s">
        <v>617</v>
      </c>
      <c r="C4" s="43" t="s">
        <v>1353</v>
      </c>
      <c r="D4" s="49" t="s">
        <v>1354</v>
      </c>
      <c r="E4" s="43" t="s">
        <v>121</v>
      </c>
      <c r="F4" s="43" t="s">
        <v>1290</v>
      </c>
      <c r="G4" s="43" t="s">
        <v>1229</v>
      </c>
      <c r="H4" s="43" t="s">
        <v>156</v>
      </c>
      <c r="I4" s="43" t="s">
        <v>1355</v>
      </c>
      <c r="J4" s="43" t="s">
        <v>73</v>
      </c>
      <c r="K4" s="43">
        <v>3000</v>
      </c>
      <c r="L4" s="43" t="s">
        <v>1356</v>
      </c>
      <c r="M4" s="49" t="s">
        <v>1357</v>
      </c>
      <c r="N4" s="65">
        <v>44859</v>
      </c>
      <c r="O4" s="65">
        <v>45223</v>
      </c>
      <c r="P4" s="43">
        <f>P16-N4</f>
        <v>364</v>
      </c>
      <c r="Q4" s="55">
        <f>SUM(Q5:Q26)</f>
        <v>95.57</v>
      </c>
      <c r="R4" s="55">
        <v>60</v>
      </c>
      <c r="S4" s="43"/>
      <c r="T4" s="55">
        <f>SUM(T5:T26)</f>
        <v>95.58</v>
      </c>
      <c r="U4" s="56">
        <v>3.15E-2</v>
      </c>
      <c r="V4" s="50"/>
      <c r="W4" s="43" t="s">
        <v>42</v>
      </c>
      <c r="X4" s="57">
        <v>0.02</v>
      </c>
      <c r="Y4" s="43">
        <f>ROUNDDOWN(IF((O4-N4+1)*K4*X4/365&gt;R4,R4,(O4-N4+1)*K4*X4/365),2)</f>
        <v>60</v>
      </c>
      <c r="Z4" s="55">
        <f>R4-Y4</f>
        <v>0</v>
      </c>
      <c r="AA4" s="55"/>
      <c r="AB4" s="43" t="s">
        <v>61</v>
      </c>
      <c r="AF4" s="34">
        <v>11.02</v>
      </c>
      <c r="AG4" s="34">
        <f>60-AF4</f>
        <v>48.98</v>
      </c>
    </row>
    <row r="5" spans="1:33" s="35" customFormat="1">
      <c r="A5" s="44"/>
      <c r="B5" s="44"/>
      <c r="C5" s="44"/>
      <c r="D5" s="44"/>
      <c r="E5" s="44"/>
      <c r="F5" s="44"/>
      <c r="G5" s="44"/>
      <c r="H5" s="44"/>
      <c r="I5" s="44"/>
      <c r="J5" s="44"/>
      <c r="K5" s="44"/>
      <c r="L5" s="44"/>
      <c r="M5" s="63"/>
      <c r="N5" s="52"/>
      <c r="O5" s="65"/>
      <c r="P5" s="53">
        <v>44886</v>
      </c>
      <c r="Q5" s="58">
        <v>7.0875000000000004</v>
      </c>
      <c r="R5" s="44"/>
      <c r="S5" s="53">
        <v>44886</v>
      </c>
      <c r="T5" s="58">
        <f>(S5-N4)/360*$U$4*$K$4</f>
        <v>7.09</v>
      </c>
      <c r="U5" s="58">
        <f>T5-Q5</f>
        <v>0</v>
      </c>
      <c r="V5" s="52"/>
      <c r="W5" s="44"/>
      <c r="X5" s="44"/>
      <c r="Y5" s="44"/>
      <c r="Z5" s="44"/>
      <c r="AA5" s="44"/>
      <c r="AB5" s="44"/>
    </row>
    <row r="6" spans="1:33" s="35" customFormat="1">
      <c r="A6" s="44"/>
      <c r="B6" s="44"/>
      <c r="C6" s="44"/>
      <c r="D6" s="44"/>
      <c r="E6" s="44"/>
      <c r="F6" s="44"/>
      <c r="G6" s="44"/>
      <c r="H6" s="44"/>
      <c r="I6" s="44"/>
      <c r="J6" s="44"/>
      <c r="K6" s="44"/>
      <c r="L6" s="44"/>
      <c r="M6" s="63"/>
      <c r="N6" s="52"/>
      <c r="O6" s="53"/>
      <c r="P6" s="53">
        <v>44916</v>
      </c>
      <c r="Q6" s="58">
        <v>7.875</v>
      </c>
      <c r="R6" s="44"/>
      <c r="S6" s="53">
        <v>44916</v>
      </c>
      <c r="T6" s="58">
        <f>(S6-S5)/360*$U$4*$K$4</f>
        <v>7.88</v>
      </c>
      <c r="U6" s="58">
        <f>T6-Q6</f>
        <v>0</v>
      </c>
      <c r="V6" s="52"/>
      <c r="W6" s="44"/>
      <c r="X6" s="44"/>
      <c r="Y6" s="44"/>
      <c r="Z6" s="44"/>
      <c r="AA6" s="44"/>
      <c r="AB6" s="44"/>
    </row>
    <row r="7" spans="1:33" s="35" customFormat="1">
      <c r="A7" s="44"/>
      <c r="B7" s="44"/>
      <c r="C7" s="44"/>
      <c r="D7" s="44"/>
      <c r="E7" s="44"/>
      <c r="F7" s="44"/>
      <c r="G7" s="44"/>
      <c r="H7" s="44"/>
      <c r="I7" s="44"/>
      <c r="J7" s="44"/>
      <c r="K7" s="44"/>
      <c r="L7" s="44"/>
      <c r="M7" s="44"/>
      <c r="N7" s="52"/>
      <c r="O7" s="53"/>
      <c r="P7" s="53">
        <v>44947</v>
      </c>
      <c r="Q7" s="58">
        <v>8.14</v>
      </c>
      <c r="R7" s="44"/>
      <c r="S7" s="53">
        <v>44947</v>
      </c>
      <c r="T7" s="58">
        <f>(S7-S6)*$K$4*$U$4/360</f>
        <v>8.14</v>
      </c>
      <c r="U7" s="58">
        <f>T7-Q7</f>
        <v>0</v>
      </c>
      <c r="V7" s="44"/>
      <c r="W7" s="44"/>
      <c r="X7" s="44"/>
      <c r="Y7" s="44"/>
      <c r="Z7" s="44"/>
      <c r="AA7" s="44"/>
      <c r="AB7" s="44"/>
    </row>
    <row r="8" spans="1:33" s="35" customFormat="1">
      <c r="A8" s="44"/>
      <c r="B8" s="44"/>
      <c r="C8" s="44"/>
      <c r="D8" s="44"/>
      <c r="E8" s="44"/>
      <c r="F8" s="44"/>
      <c r="G8" s="44"/>
      <c r="H8" s="44"/>
      <c r="I8" s="44"/>
      <c r="J8" s="44"/>
      <c r="K8" s="44"/>
      <c r="L8" s="44"/>
      <c r="M8" s="44"/>
      <c r="N8" s="52"/>
      <c r="O8" s="52"/>
      <c r="P8" s="53">
        <v>44978</v>
      </c>
      <c r="Q8" s="58">
        <v>8.14</v>
      </c>
      <c r="R8" s="44"/>
      <c r="S8" s="53">
        <v>44978</v>
      </c>
      <c r="T8" s="58">
        <f t="shared" ref="T8:T16" si="0">(S8-S7)*$K$4*$U$4/360</f>
        <v>8.14</v>
      </c>
      <c r="U8" s="58">
        <f t="shared" ref="U8:U15" si="1">T8-Q8</f>
        <v>0</v>
      </c>
      <c r="V8" s="44"/>
      <c r="W8" s="44"/>
      <c r="X8" s="44"/>
      <c r="Y8" s="44"/>
      <c r="Z8" s="44"/>
      <c r="AA8" s="44"/>
      <c r="AB8" s="44"/>
    </row>
    <row r="9" spans="1:33" s="35" customFormat="1">
      <c r="A9" s="44"/>
      <c r="B9" s="44"/>
      <c r="C9" s="44"/>
      <c r="D9" s="44"/>
      <c r="E9" s="44"/>
      <c r="F9" s="44"/>
      <c r="G9" s="44"/>
      <c r="H9" s="44"/>
      <c r="I9" s="44"/>
      <c r="J9" s="44"/>
      <c r="K9" s="44"/>
      <c r="L9" s="44"/>
      <c r="M9" s="44"/>
      <c r="N9" s="52"/>
      <c r="O9" s="52"/>
      <c r="P9" s="53">
        <v>45006</v>
      </c>
      <c r="Q9" s="58">
        <v>7.35</v>
      </c>
      <c r="R9" s="44"/>
      <c r="S9" s="53">
        <v>45006</v>
      </c>
      <c r="T9" s="58">
        <f t="shared" si="0"/>
        <v>7.35</v>
      </c>
      <c r="U9" s="58">
        <f t="shared" si="1"/>
        <v>0</v>
      </c>
      <c r="V9" s="44"/>
      <c r="W9" s="44"/>
      <c r="X9" s="44"/>
      <c r="Y9" s="44"/>
      <c r="Z9" s="44"/>
      <c r="AA9" s="44"/>
      <c r="AB9" s="44"/>
    </row>
    <row r="10" spans="1:33" s="35" customFormat="1">
      <c r="A10" s="44"/>
      <c r="B10" s="44"/>
      <c r="C10" s="44"/>
      <c r="D10" s="44"/>
      <c r="E10" s="44"/>
      <c r="F10" s="44"/>
      <c r="G10" s="44"/>
      <c r="H10" s="44"/>
      <c r="I10" s="44"/>
      <c r="J10" s="44"/>
      <c r="K10" s="44"/>
      <c r="L10" s="44"/>
      <c r="M10" s="44"/>
      <c r="N10" s="52"/>
      <c r="O10" s="52"/>
      <c r="P10" s="53">
        <v>45037</v>
      </c>
      <c r="Q10" s="58">
        <v>8.14</v>
      </c>
      <c r="R10" s="44"/>
      <c r="S10" s="53">
        <v>45037</v>
      </c>
      <c r="T10" s="58">
        <f t="shared" si="0"/>
        <v>8.14</v>
      </c>
      <c r="U10" s="58">
        <f t="shared" si="1"/>
        <v>0</v>
      </c>
      <c r="V10" s="44"/>
      <c r="W10" s="44"/>
      <c r="X10" s="44"/>
      <c r="Y10" s="44"/>
      <c r="Z10" s="44"/>
      <c r="AA10" s="44"/>
      <c r="AB10" s="44"/>
    </row>
    <row r="11" spans="1:33" s="35" customFormat="1">
      <c r="A11" s="44"/>
      <c r="B11" s="44"/>
      <c r="C11" s="44"/>
      <c r="D11" s="44"/>
      <c r="E11" s="44"/>
      <c r="F11" s="44"/>
      <c r="G11" s="44"/>
      <c r="H11" s="44"/>
      <c r="I11" s="44"/>
      <c r="J11" s="44"/>
      <c r="K11" s="44"/>
      <c r="L11" s="44"/>
      <c r="M11" s="44"/>
      <c r="N11" s="52"/>
      <c r="O11" s="52"/>
      <c r="P11" s="53">
        <v>45067</v>
      </c>
      <c r="Q11" s="58">
        <v>7.875</v>
      </c>
      <c r="R11" s="44"/>
      <c r="S11" s="53">
        <v>45067</v>
      </c>
      <c r="T11" s="58">
        <f t="shared" si="0"/>
        <v>7.88</v>
      </c>
      <c r="U11" s="58">
        <f t="shared" si="1"/>
        <v>0</v>
      </c>
      <c r="V11" s="44"/>
      <c r="W11" s="44"/>
      <c r="X11" s="44"/>
      <c r="Y11" s="44"/>
      <c r="Z11" s="44"/>
      <c r="AA11" s="44"/>
      <c r="AB11" s="44"/>
    </row>
    <row r="12" spans="1:33" s="35" customFormat="1">
      <c r="A12" s="44"/>
      <c r="B12" s="44"/>
      <c r="C12" s="44"/>
      <c r="D12" s="44"/>
      <c r="E12" s="44"/>
      <c r="F12" s="44"/>
      <c r="G12" s="44"/>
      <c r="H12" s="44"/>
      <c r="I12" s="44"/>
      <c r="J12" s="44"/>
      <c r="K12" s="44"/>
      <c r="L12" s="44"/>
      <c r="M12" s="44"/>
      <c r="N12" s="52"/>
      <c r="O12" s="52"/>
      <c r="P12" s="53">
        <v>45098</v>
      </c>
      <c r="Q12" s="58">
        <v>8.14</v>
      </c>
      <c r="R12" s="44"/>
      <c r="S12" s="53">
        <v>45098</v>
      </c>
      <c r="T12" s="58">
        <f t="shared" si="0"/>
        <v>8.14</v>
      </c>
      <c r="U12" s="58">
        <f t="shared" si="1"/>
        <v>0</v>
      </c>
      <c r="V12" s="44"/>
      <c r="W12" s="44"/>
      <c r="X12" s="44"/>
      <c r="Y12" s="44"/>
      <c r="Z12" s="44"/>
      <c r="AA12" s="44"/>
      <c r="AB12" s="44"/>
    </row>
    <row r="13" spans="1:33" s="35" customFormat="1">
      <c r="A13" s="44"/>
      <c r="B13" s="44"/>
      <c r="C13" s="44"/>
      <c r="D13" s="44"/>
      <c r="E13" s="44"/>
      <c r="F13" s="44"/>
      <c r="G13" s="44"/>
      <c r="H13" s="44"/>
      <c r="I13" s="44"/>
      <c r="J13" s="44"/>
      <c r="K13" s="44"/>
      <c r="L13" s="44"/>
      <c r="M13" s="44"/>
      <c r="N13" s="52"/>
      <c r="O13" s="52"/>
      <c r="P13" s="53">
        <v>45128</v>
      </c>
      <c r="Q13" s="58">
        <v>7.875</v>
      </c>
      <c r="R13" s="44"/>
      <c r="S13" s="53">
        <v>45128</v>
      </c>
      <c r="T13" s="58">
        <f t="shared" si="0"/>
        <v>7.88</v>
      </c>
      <c r="U13" s="58">
        <f t="shared" si="1"/>
        <v>0</v>
      </c>
      <c r="V13" s="44"/>
      <c r="W13" s="44"/>
      <c r="X13" s="44"/>
      <c r="Y13" s="44"/>
      <c r="Z13" s="44"/>
      <c r="AA13" s="44"/>
      <c r="AB13" s="44"/>
    </row>
    <row r="14" spans="1:33" s="35" customFormat="1">
      <c r="A14" s="44"/>
      <c r="B14" s="44"/>
      <c r="C14" s="44"/>
      <c r="D14" s="44"/>
      <c r="E14" s="44"/>
      <c r="F14" s="44"/>
      <c r="G14" s="44"/>
      <c r="H14" s="44"/>
      <c r="I14" s="44"/>
      <c r="J14" s="44"/>
      <c r="K14" s="44"/>
      <c r="L14" s="44"/>
      <c r="M14" s="44"/>
      <c r="N14" s="52"/>
      <c r="O14" s="52"/>
      <c r="P14" s="53">
        <v>45159</v>
      </c>
      <c r="Q14" s="58">
        <v>8.14</v>
      </c>
      <c r="R14" s="44"/>
      <c r="S14" s="53">
        <v>45159</v>
      </c>
      <c r="T14" s="58">
        <f t="shared" si="0"/>
        <v>8.14</v>
      </c>
      <c r="U14" s="58">
        <f t="shared" si="1"/>
        <v>0</v>
      </c>
      <c r="V14" s="44"/>
      <c r="W14" s="44"/>
      <c r="X14" s="44"/>
      <c r="Y14" s="44"/>
      <c r="Z14" s="44"/>
      <c r="AA14" s="44"/>
      <c r="AB14" s="44"/>
    </row>
    <row r="15" spans="1:33" s="35" customFormat="1">
      <c r="A15" s="44"/>
      <c r="B15" s="44"/>
      <c r="C15" s="44"/>
      <c r="D15" s="44"/>
      <c r="E15" s="44"/>
      <c r="F15" s="44"/>
      <c r="G15" s="44"/>
      <c r="H15" s="44"/>
      <c r="I15" s="44"/>
      <c r="J15" s="44"/>
      <c r="K15" s="44"/>
      <c r="L15" s="44"/>
      <c r="M15" s="44"/>
      <c r="N15" s="52"/>
      <c r="O15" s="52"/>
      <c r="P15" s="53">
        <v>45190</v>
      </c>
      <c r="Q15" s="58">
        <v>8.14</v>
      </c>
      <c r="R15" s="44"/>
      <c r="S15" s="53">
        <v>45190</v>
      </c>
      <c r="T15" s="58">
        <f t="shared" si="0"/>
        <v>8.14</v>
      </c>
      <c r="U15" s="58">
        <f t="shared" si="1"/>
        <v>0</v>
      </c>
      <c r="V15" s="44"/>
      <c r="W15" s="44"/>
      <c r="X15" s="44"/>
      <c r="Y15" s="44"/>
      <c r="Z15" s="44"/>
      <c r="AA15" s="44"/>
      <c r="AB15" s="44"/>
    </row>
    <row r="16" spans="1:33" s="35" customFormat="1">
      <c r="A16" s="44"/>
      <c r="B16" s="44"/>
      <c r="C16" s="44"/>
      <c r="D16" s="44"/>
      <c r="E16" s="44"/>
      <c r="F16" s="44"/>
      <c r="G16" s="44"/>
      <c r="H16" s="44"/>
      <c r="I16" s="44"/>
      <c r="J16" s="44"/>
      <c r="K16" s="44"/>
      <c r="L16" s="44"/>
      <c r="M16" s="44"/>
      <c r="N16" s="52"/>
      <c r="O16" s="52"/>
      <c r="P16" s="53">
        <v>45223</v>
      </c>
      <c r="Q16" s="58">
        <v>8.6624999999999996</v>
      </c>
      <c r="R16" s="44"/>
      <c r="S16" s="53">
        <v>45223</v>
      </c>
      <c r="T16" s="58">
        <f t="shared" si="0"/>
        <v>8.66</v>
      </c>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成都宏科电子科技有限公司</v>
      </c>
      <c r="C27" s="43" t="str">
        <f t="shared" ref="C27:G27" si="2">C4</f>
        <v>龙泉驿区市场监督管理局</v>
      </c>
      <c r="D27" s="43" t="str">
        <f t="shared" si="2"/>
        <v>91510112713029620K</v>
      </c>
      <c r="E27" s="43" t="str">
        <f t="shared" si="2"/>
        <v>其他有限责任公司</v>
      </c>
      <c r="F27" s="43" t="str">
        <f t="shared" si="2"/>
        <v>龙泉驿区税务局</v>
      </c>
      <c r="G27" s="43" t="str">
        <f t="shared" si="2"/>
        <v>收款账号：511610018010210321008
开户行：交通银行成都双流棠湖支行</v>
      </c>
      <c r="H27" s="43" t="s">
        <v>156</v>
      </c>
      <c r="I27" s="43" t="s">
        <v>1355</v>
      </c>
      <c r="J27" s="43" t="s">
        <v>73</v>
      </c>
      <c r="K27" s="43">
        <v>3000</v>
      </c>
      <c r="L27" s="43" t="s">
        <v>1358</v>
      </c>
      <c r="M27" s="49" t="s">
        <v>1359</v>
      </c>
      <c r="N27" s="83">
        <v>45237</v>
      </c>
      <c r="O27" s="83">
        <v>45291</v>
      </c>
      <c r="P27" s="43">
        <f>P29-N27</f>
        <v>135</v>
      </c>
      <c r="Q27" s="55">
        <f>SUM(Q28:Q41)</f>
        <v>23.63</v>
      </c>
      <c r="R27" s="66">
        <v>9.17</v>
      </c>
      <c r="S27" s="43"/>
      <c r="T27" s="55">
        <f>SUM(T28:T33)</f>
        <v>23.63</v>
      </c>
      <c r="U27" s="56">
        <v>2.1000000000000001E-2</v>
      </c>
      <c r="V27" s="50"/>
      <c r="W27" s="43" t="s">
        <v>42</v>
      </c>
      <c r="X27" s="57">
        <v>0.02</v>
      </c>
      <c r="Y27" s="43">
        <f>ROUNDDOWN(IF((O27-N27+1)*K27*X27/365&gt;R27,R27,(O27-N27+1)*K27*X27/365),2)</f>
        <v>9.0399999999999991</v>
      </c>
      <c r="Z27" s="55">
        <f>R27-Y27</f>
        <v>0.13</v>
      </c>
      <c r="AA27" s="55" t="s">
        <v>1294</v>
      </c>
      <c r="AB27" s="43" t="s">
        <v>61</v>
      </c>
    </row>
    <row r="28" spans="1:28" s="35" customFormat="1">
      <c r="A28" s="44"/>
      <c r="B28" s="44"/>
      <c r="C28" s="44"/>
      <c r="D28" s="44"/>
      <c r="E28" s="44"/>
      <c r="F28" s="44"/>
      <c r="G28" s="44"/>
      <c r="H28" s="44"/>
      <c r="I28" s="44"/>
      <c r="J28" s="44"/>
      <c r="K28" s="44"/>
      <c r="L28" s="44"/>
      <c r="M28" s="44"/>
      <c r="N28" s="85"/>
      <c r="O28" s="85">
        <v>45602</v>
      </c>
      <c r="P28" s="53">
        <v>45281</v>
      </c>
      <c r="Q28" s="58">
        <v>7.7</v>
      </c>
      <c r="R28" s="44"/>
      <c r="S28" s="53">
        <v>45281</v>
      </c>
      <c r="T28" s="58">
        <f>(S28-N27)/360*$U$27*$K$27</f>
        <v>7.7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45372</v>
      </c>
      <c r="Q29" s="58">
        <v>15.925000000000001</v>
      </c>
      <c r="R29" s="44"/>
      <c r="S29" s="53">
        <v>45372</v>
      </c>
      <c r="T29" s="58">
        <f>(S29-S28)/360*$U$27*$K$27</f>
        <v>15.93</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成都宏科电子科技有限公司</v>
      </c>
      <c r="C49" s="43" t="str">
        <f t="shared" ref="C49:G49" si="3">C27</f>
        <v>龙泉驿区市场监督管理局</v>
      </c>
      <c r="D49" s="43" t="str">
        <f t="shared" si="3"/>
        <v>91510112713029620K</v>
      </c>
      <c r="E49" s="43" t="str">
        <f t="shared" si="3"/>
        <v>其他有限责任公司</v>
      </c>
      <c r="F49" s="43" t="str">
        <f t="shared" si="3"/>
        <v>龙泉驿区税务局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成都宏科电子科技有限公司</v>
      </c>
      <c r="C71" s="43" t="str">
        <f t="shared" ref="C71:G71" si="4">C49</f>
        <v>龙泉驿区市场监督管理局</v>
      </c>
      <c r="D71" s="43" t="str">
        <f t="shared" si="4"/>
        <v>91510112713029620K</v>
      </c>
      <c r="E71" s="43" t="str">
        <f t="shared" si="4"/>
        <v>其他有限责任公司</v>
      </c>
      <c r="F71" s="43" t="str">
        <f t="shared" si="4"/>
        <v>龙泉驿区税务局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成都宏科电子科技有限公司</v>
      </c>
      <c r="C93" s="43" t="str">
        <f t="shared" ref="C93:G93" si="5">C71</f>
        <v>龙泉驿区市场监督管理局</v>
      </c>
      <c r="D93" s="43" t="str">
        <f t="shared" si="5"/>
        <v>91510112713029620K</v>
      </c>
      <c r="E93" s="43" t="str">
        <f t="shared" si="5"/>
        <v>其他有限责任公司</v>
      </c>
      <c r="F93" s="43" t="str">
        <f t="shared" si="5"/>
        <v>龙泉驿区税务局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6000</v>
      </c>
      <c r="L115" s="43"/>
      <c r="M115" s="43"/>
      <c r="N115" s="50"/>
      <c r="O115" s="50"/>
      <c r="P115" s="43"/>
      <c r="Q115" s="43"/>
      <c r="R115" s="43"/>
      <c r="S115" s="43"/>
      <c r="T115" s="43"/>
      <c r="U115" s="43"/>
      <c r="V115" s="43"/>
      <c r="W115" s="43"/>
      <c r="X115" s="43"/>
      <c r="Y115" s="43">
        <f>Y93+Y71+Y49+Y27++Y4</f>
        <v>69.040000000000006</v>
      </c>
      <c r="Z115" s="43"/>
      <c r="AA115" s="43"/>
      <c r="AB115" s="43"/>
    </row>
    <row r="116" spans="1:28">
      <c r="I116" s="36" t="s">
        <v>49</v>
      </c>
      <c r="K116" s="36">
        <f ca="1">IF(K115&gt;3000,K117,K115)</f>
        <v>500</v>
      </c>
    </row>
    <row r="117" spans="1:28" hidden="1">
      <c r="K117" s="36">
        <f ca="1">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AC117"/>
  <sheetViews>
    <sheetView topLeftCell="E1" workbookViewId="0">
      <pane ySplit="3" topLeftCell="A7" activePane="bottomLeft" state="frozen"/>
      <selection pane="bottomLeft" activeCell="Y5" sqref="Y5"/>
    </sheetView>
  </sheetViews>
  <sheetFormatPr defaultColWidth="9" defaultRowHeight="14"/>
  <cols>
    <col min="1" max="6" width="9" style="36"/>
    <col min="7" max="7" width="9" style="36" hidden="1" customWidth="1"/>
    <col min="8" max="12" width="9" style="36"/>
    <col min="13" max="13" width="1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成都宏科微波通信有限公司审计明细表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618</v>
      </c>
      <c r="C4" s="43" t="s">
        <v>1353</v>
      </c>
      <c r="D4" s="49" t="s">
        <v>1360</v>
      </c>
      <c r="E4" s="43" t="s">
        <v>121</v>
      </c>
      <c r="F4" s="43" t="s">
        <v>1290</v>
      </c>
      <c r="G4" s="43" t="s">
        <v>1229</v>
      </c>
      <c r="H4" s="43" t="s">
        <v>156</v>
      </c>
      <c r="I4" s="43" t="s">
        <v>1355</v>
      </c>
      <c r="J4" s="43" t="s">
        <v>73</v>
      </c>
      <c r="K4" s="43">
        <v>3000</v>
      </c>
      <c r="L4" s="43" t="s">
        <v>1361</v>
      </c>
      <c r="M4" s="49" t="s">
        <v>1362</v>
      </c>
      <c r="N4" s="65">
        <v>44847</v>
      </c>
      <c r="O4" s="65">
        <v>45211</v>
      </c>
      <c r="P4" s="43">
        <f>P16-N4</f>
        <v>364</v>
      </c>
      <c r="Q4" s="55">
        <f>SUM(Q5:Q26)</f>
        <v>112.24</v>
      </c>
      <c r="R4" s="55">
        <v>60</v>
      </c>
      <c r="S4" s="43"/>
      <c r="T4" s="55">
        <f>SUM(T5:T26)</f>
        <v>112.25</v>
      </c>
      <c r="U4" s="56">
        <v>3.6999999999999998E-2</v>
      </c>
      <c r="V4" s="50"/>
      <c r="W4" s="43" t="s">
        <v>42</v>
      </c>
      <c r="X4" s="57">
        <v>0.02</v>
      </c>
      <c r="Y4" s="43">
        <f>ROUNDDOWN(IF((O4-N4+1)*K4*X4/365&gt;R4,R4,(O4-N4+1)*K4*X4/365),2)</f>
        <v>60</v>
      </c>
      <c r="Z4" s="55">
        <f>R4-Y4</f>
        <v>0</v>
      </c>
      <c r="AA4" s="55"/>
      <c r="AB4" s="43" t="s">
        <v>61</v>
      </c>
    </row>
    <row r="5" spans="1:29" s="35" customFormat="1">
      <c r="A5" s="44"/>
      <c r="B5" s="44"/>
      <c r="C5" s="44"/>
      <c r="D5" s="44"/>
      <c r="E5" s="44"/>
      <c r="F5" s="44"/>
      <c r="G5" s="44"/>
      <c r="H5" s="44"/>
      <c r="I5" s="44"/>
      <c r="J5" s="44"/>
      <c r="K5" s="44"/>
      <c r="L5" s="44"/>
      <c r="M5" s="63"/>
      <c r="N5" s="52"/>
      <c r="O5" s="65"/>
      <c r="P5" s="53">
        <v>44886</v>
      </c>
      <c r="Q5" s="58">
        <v>12.025</v>
      </c>
      <c r="R5" s="44"/>
      <c r="S5" s="53">
        <v>44886</v>
      </c>
      <c r="T5" s="58">
        <f>(S5-N4)/360*$U$4*$K$4</f>
        <v>12.03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44916</v>
      </c>
      <c r="Q6" s="58">
        <v>9.25</v>
      </c>
      <c r="R6" s="44"/>
      <c r="S6" s="53">
        <v>44916</v>
      </c>
      <c r="T6" s="58">
        <f>(S6-S5)/360*$U$4*$K$4</f>
        <v>9.25</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44947</v>
      </c>
      <c r="Q7" s="58">
        <v>9.56</v>
      </c>
      <c r="R7" s="44"/>
      <c r="S7" s="53">
        <v>44947</v>
      </c>
      <c r="T7" s="58">
        <f>(S7-S6)*$K$4*$U$4/360</f>
        <v>9.56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44978</v>
      </c>
      <c r="Q8" s="58">
        <v>9.56</v>
      </c>
      <c r="R8" s="44"/>
      <c r="S8" s="53">
        <v>44978</v>
      </c>
      <c r="T8" s="58">
        <f t="shared" ref="T8:T16" si="0">(S8-S7)*$K$4*$U$4/360</f>
        <v>9.56</v>
      </c>
      <c r="U8" s="58">
        <f t="shared" ref="U8:U16"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45006</v>
      </c>
      <c r="Q9" s="58">
        <v>8.6300000000000008</v>
      </c>
      <c r="R9" s="44"/>
      <c r="S9" s="53">
        <v>45006</v>
      </c>
      <c r="T9" s="58">
        <f t="shared" si="0"/>
        <v>8.6300000000000008</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45037</v>
      </c>
      <c r="Q10" s="58">
        <v>9.56</v>
      </c>
      <c r="R10" s="44"/>
      <c r="S10" s="53">
        <v>45037</v>
      </c>
      <c r="T10" s="58">
        <f t="shared" si="0"/>
        <v>9.56</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45067</v>
      </c>
      <c r="Q11" s="58">
        <v>9.25</v>
      </c>
      <c r="R11" s="44"/>
      <c r="S11" s="53">
        <v>45067</v>
      </c>
      <c r="T11" s="58">
        <f t="shared" si="0"/>
        <v>9.25</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45098</v>
      </c>
      <c r="Q12" s="58">
        <v>9.56</v>
      </c>
      <c r="R12" s="44"/>
      <c r="S12" s="53">
        <v>45098</v>
      </c>
      <c r="T12" s="58">
        <f t="shared" si="0"/>
        <v>9.56</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45128</v>
      </c>
      <c r="Q13" s="58">
        <v>9.25</v>
      </c>
      <c r="R13" s="44"/>
      <c r="S13" s="53">
        <v>45128</v>
      </c>
      <c r="T13" s="58">
        <f t="shared" si="0"/>
        <v>9.25</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45159</v>
      </c>
      <c r="Q14" s="58">
        <v>9.56</v>
      </c>
      <c r="R14" s="44"/>
      <c r="S14" s="53">
        <v>45159</v>
      </c>
      <c r="T14" s="58">
        <f t="shared" si="0"/>
        <v>9.56</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45190</v>
      </c>
      <c r="Q15" s="58">
        <v>9.56</v>
      </c>
      <c r="R15" s="44"/>
      <c r="S15" s="53">
        <v>45190</v>
      </c>
      <c r="T15" s="58">
        <f t="shared" si="0"/>
        <v>9.56</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45211</v>
      </c>
      <c r="Q16" s="58">
        <v>6.4749999999999996</v>
      </c>
      <c r="R16" s="44"/>
      <c r="S16" s="53">
        <v>45211</v>
      </c>
      <c r="T16" s="58">
        <f t="shared" si="0"/>
        <v>6.48</v>
      </c>
      <c r="U16" s="58">
        <f t="shared" si="1"/>
        <v>0.01</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成都宏科微波通信有限公司</v>
      </c>
      <c r="C27" s="43" t="str">
        <f t="shared" ref="C27:G27" si="2">C4</f>
        <v>龙泉驿区市场监督管理局</v>
      </c>
      <c r="D27" s="43" t="str">
        <f t="shared" si="2"/>
        <v>91510112686314513P</v>
      </c>
      <c r="E27" s="43" t="str">
        <f t="shared" si="2"/>
        <v>其他有限责任公司</v>
      </c>
      <c r="F27" s="43" t="str">
        <f t="shared" si="2"/>
        <v>龙泉驿区税务局</v>
      </c>
      <c r="G27" s="43" t="str">
        <f t="shared" si="2"/>
        <v>收款账号：511610018010210321008
开户行：交通银行成都双流棠湖支行</v>
      </c>
      <c r="H27" s="43" t="s">
        <v>156</v>
      </c>
      <c r="I27" s="43" t="s">
        <v>1355</v>
      </c>
      <c r="J27" s="43" t="s">
        <v>73</v>
      </c>
      <c r="K27" s="43">
        <v>3000</v>
      </c>
      <c r="L27" s="43" t="s">
        <v>1363</v>
      </c>
      <c r="M27" s="49" t="s">
        <v>1364</v>
      </c>
      <c r="N27" s="83">
        <v>45222</v>
      </c>
      <c r="O27" s="83">
        <v>45291</v>
      </c>
      <c r="P27" s="43">
        <f>P29-N27</f>
        <v>150</v>
      </c>
      <c r="Q27" s="55">
        <f>SUM(Q28:Q41)</f>
        <v>26.25</v>
      </c>
      <c r="R27" s="66">
        <v>11.5</v>
      </c>
      <c r="S27" s="43"/>
      <c r="T27" s="55">
        <f>SUM(T28:T33)</f>
        <v>26.26</v>
      </c>
      <c r="U27" s="56">
        <v>2.1000000000000001E-2</v>
      </c>
      <c r="V27" s="50"/>
      <c r="W27" s="43" t="s">
        <v>42</v>
      </c>
      <c r="X27" s="57">
        <v>0.02</v>
      </c>
      <c r="Y27" s="43">
        <f>ROUNDDOWN(IF((O27-N27+1)*K27*X27/365&gt;R27,R27,(O27-N27+1)*K27*X27/365),2)</f>
        <v>11.5</v>
      </c>
      <c r="Z27" s="55">
        <f>R27-Y27</f>
        <v>0</v>
      </c>
      <c r="AA27" s="55"/>
      <c r="AB27" s="43" t="s">
        <v>61</v>
      </c>
    </row>
    <row r="28" spans="1:28" s="35" customFormat="1">
      <c r="A28" s="44"/>
      <c r="B28" s="44"/>
      <c r="C28" s="44"/>
      <c r="D28" s="44"/>
      <c r="E28" s="44"/>
      <c r="F28" s="44"/>
      <c r="G28" s="44"/>
      <c r="H28" s="44"/>
      <c r="I28" s="44"/>
      <c r="J28" s="44"/>
      <c r="K28" s="44"/>
      <c r="L28" s="44"/>
      <c r="M28" s="44"/>
      <c r="N28" s="85"/>
      <c r="O28" s="85">
        <v>45587</v>
      </c>
      <c r="P28" s="53">
        <v>45281</v>
      </c>
      <c r="Q28" s="58">
        <v>10.324999999999999</v>
      </c>
      <c r="R28" s="44"/>
      <c r="S28" s="53">
        <v>45281</v>
      </c>
      <c r="T28" s="58">
        <f>(S28-N27)/360*$U$27*$K$27</f>
        <v>10.33</v>
      </c>
      <c r="U28" s="58">
        <f>T28-Q28</f>
        <v>0.01</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45372</v>
      </c>
      <c r="Q29" s="58">
        <v>15.925000000000001</v>
      </c>
      <c r="R29" s="44"/>
      <c r="S29" s="53">
        <v>45372</v>
      </c>
      <c r="T29" s="58">
        <f>(S29-S28)/360*$U$27*$K$27</f>
        <v>15.93</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成都宏科微波通信有限公司</v>
      </c>
      <c r="C49" s="43" t="str">
        <f t="shared" ref="C49:G49" si="3">C27</f>
        <v>龙泉驿区市场监督管理局</v>
      </c>
      <c r="D49" s="43" t="str">
        <f t="shared" si="3"/>
        <v>91510112686314513P</v>
      </c>
      <c r="E49" s="43" t="str">
        <f t="shared" si="3"/>
        <v>其他有限责任公司</v>
      </c>
      <c r="F49" s="43" t="str">
        <f t="shared" si="3"/>
        <v>龙泉驿区税务局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成都宏科微波通信有限公司</v>
      </c>
      <c r="C71" s="43" t="str">
        <f t="shared" ref="C71:G71" si="4">C49</f>
        <v>龙泉驿区市场监督管理局</v>
      </c>
      <c r="D71" s="43" t="str">
        <f t="shared" si="4"/>
        <v>91510112686314513P</v>
      </c>
      <c r="E71" s="43" t="str">
        <f t="shared" si="4"/>
        <v>其他有限责任公司</v>
      </c>
      <c r="F71" s="43" t="str">
        <f t="shared" si="4"/>
        <v>龙泉驿区税务局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成都宏科微波通信有限公司</v>
      </c>
      <c r="C93" s="43" t="str">
        <f t="shared" ref="C93:G93" si="5">C71</f>
        <v>龙泉驿区市场监督管理局</v>
      </c>
      <c r="D93" s="43" t="str">
        <f t="shared" si="5"/>
        <v>91510112686314513P</v>
      </c>
      <c r="E93" s="43" t="str">
        <f t="shared" si="5"/>
        <v>其他有限责任公司</v>
      </c>
      <c r="F93" s="43" t="str">
        <f t="shared" si="5"/>
        <v>龙泉驿区税务局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6000</v>
      </c>
      <c r="L115" s="43"/>
      <c r="M115" s="43"/>
      <c r="N115" s="50"/>
      <c r="O115" s="50"/>
      <c r="P115" s="43"/>
      <c r="Q115" s="43"/>
      <c r="R115" s="43"/>
      <c r="S115" s="43"/>
      <c r="T115" s="43"/>
      <c r="U115" s="43"/>
      <c r="V115" s="43"/>
      <c r="W115" s="43"/>
      <c r="X115" s="43"/>
      <c r="Y115" s="43">
        <f>Y93+Y71+Y49+Y27++Y4</f>
        <v>71.5</v>
      </c>
      <c r="Z115" s="43"/>
      <c r="AA115" s="43"/>
      <c r="AB115" s="43"/>
    </row>
    <row r="116" spans="1:28">
      <c r="I116" s="36" t="s">
        <v>49</v>
      </c>
      <c r="K116" s="36">
        <f ca="1">IF(K115&gt;3000,K117,K115)</f>
        <v>500</v>
      </c>
    </row>
    <row r="117" spans="1:28" hidden="1">
      <c r="K117" s="36">
        <f ca="1">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四川赛康智能科技股份有限公司审计明细表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185</v>
      </c>
      <c r="C4" s="9" t="s">
        <v>186</v>
      </c>
      <c r="D4" s="9" t="s">
        <v>187</v>
      </c>
      <c r="E4" s="9" t="s">
        <v>34</v>
      </c>
      <c r="F4" s="9" t="s">
        <v>91</v>
      </c>
      <c r="G4" s="9" t="s">
        <v>188</v>
      </c>
      <c r="H4" s="9" t="s">
        <v>71</v>
      </c>
      <c r="I4" s="9" t="s">
        <v>189</v>
      </c>
      <c r="J4" s="9" t="s">
        <v>73</v>
      </c>
      <c r="K4" s="9">
        <v>500</v>
      </c>
      <c r="L4" s="9" t="s">
        <v>190</v>
      </c>
      <c r="M4" s="20" t="s">
        <v>191</v>
      </c>
      <c r="N4" s="16">
        <v>45044</v>
      </c>
      <c r="O4" s="16">
        <v>45291</v>
      </c>
      <c r="P4" s="9">
        <f>P13-N4</f>
        <v>267</v>
      </c>
      <c r="Q4" s="22">
        <f>SUM(Q5:Q25)</f>
        <v>11.87</v>
      </c>
      <c r="R4" s="22">
        <v>5.0999999999999996</v>
      </c>
      <c r="S4" s="9"/>
      <c r="T4" s="22">
        <f>SUM(T5:T25)</f>
        <v>11.87</v>
      </c>
      <c r="U4" s="23">
        <v>3.2000000000000001E-2</v>
      </c>
      <c r="V4" s="16"/>
      <c r="W4" s="9" t="s">
        <v>42</v>
      </c>
      <c r="X4" s="24">
        <v>1.4999999999999999E-2</v>
      </c>
      <c r="Y4" s="9">
        <f>ROUNDDOWN(IF((O4-N4+1)*K4*X4/365&gt;R4,R4,(O4-N4+1)*K4*X4/365),2)</f>
        <v>5.09</v>
      </c>
      <c r="Z4" s="22">
        <f>R4-Y4</f>
        <v>0.01</v>
      </c>
      <c r="AA4" s="22" t="s">
        <v>43</v>
      </c>
      <c r="AB4" s="9" t="s">
        <v>61</v>
      </c>
      <c r="AD4" s="28">
        <f>(O4-N4+1)*K4*X4/365</f>
        <v>5.0959000000000003</v>
      </c>
    </row>
    <row r="5" spans="1:30" s="2" customFormat="1">
      <c r="A5" s="10"/>
      <c r="B5" s="10"/>
      <c r="C5" s="10"/>
      <c r="D5" s="10"/>
      <c r="E5" s="10"/>
      <c r="F5" s="10"/>
      <c r="G5" s="10"/>
      <c r="H5" s="10"/>
      <c r="I5" s="10"/>
      <c r="J5" s="10"/>
      <c r="K5" s="10"/>
      <c r="L5" s="10"/>
      <c r="M5" s="17"/>
      <c r="N5" s="18"/>
      <c r="O5" s="16">
        <v>45409</v>
      </c>
      <c r="P5" s="19">
        <v>45066</v>
      </c>
      <c r="Q5" s="25">
        <v>0.98</v>
      </c>
      <c r="R5" s="10"/>
      <c r="S5" s="19">
        <f>P5</f>
        <v>45066</v>
      </c>
      <c r="T5" s="25">
        <f>(S5-N4)/360*$U$4*$K$4</f>
        <v>0.98</v>
      </c>
      <c r="U5" s="25">
        <f>T5-Q5</f>
        <v>0</v>
      </c>
      <c r="V5" s="18"/>
      <c r="W5" s="10"/>
      <c r="X5" s="10"/>
      <c r="Y5" s="10">
        <f>ROUNDDOWN((V5-N4)*K4*X4/365,2)</f>
        <v>-925.56</v>
      </c>
      <c r="Z5" s="10"/>
      <c r="AA5" s="10"/>
      <c r="AB5" s="10"/>
    </row>
    <row r="6" spans="1:30" s="2" customFormat="1">
      <c r="A6" s="10"/>
      <c r="B6" s="10"/>
      <c r="C6" s="10"/>
      <c r="D6" s="10"/>
      <c r="E6" s="10"/>
      <c r="F6" s="10"/>
      <c r="G6" s="10"/>
      <c r="H6" s="10"/>
      <c r="I6" s="10"/>
      <c r="J6" s="10"/>
      <c r="K6" s="10"/>
      <c r="L6" s="10"/>
      <c r="M6" s="17"/>
      <c r="N6" s="18"/>
      <c r="O6" s="18"/>
      <c r="P6" s="19">
        <v>45097</v>
      </c>
      <c r="Q6" s="25">
        <v>1.38</v>
      </c>
      <c r="R6" s="10"/>
      <c r="S6" s="19">
        <f t="shared" ref="S6:S13" si="0">P6</f>
        <v>45097</v>
      </c>
      <c r="T6" s="25">
        <f>(S6-S5)*$K$4*$U$4/360</f>
        <v>1.38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45127</v>
      </c>
      <c r="Q7" s="25">
        <v>1.33</v>
      </c>
      <c r="R7" s="10"/>
      <c r="S7" s="19">
        <f t="shared" si="0"/>
        <v>45127</v>
      </c>
      <c r="T7" s="25">
        <f t="shared" ref="T7:T13" si="1">(S7-S6)*$K$4*$U$4/360</f>
        <v>1.33</v>
      </c>
      <c r="U7" s="25">
        <f t="shared" ref="U7:U13"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45158</v>
      </c>
      <c r="Q8" s="25">
        <v>1.38</v>
      </c>
      <c r="R8" s="10"/>
      <c r="S8" s="19">
        <f t="shared" si="0"/>
        <v>45158</v>
      </c>
      <c r="T8" s="25">
        <f t="shared" si="1"/>
        <v>1.38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45189</v>
      </c>
      <c r="Q9" s="25">
        <v>1.38</v>
      </c>
      <c r="R9" s="10"/>
      <c r="S9" s="19">
        <f t="shared" si="0"/>
        <v>45189</v>
      </c>
      <c r="T9" s="25">
        <f t="shared" si="1"/>
        <v>1.38</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45219</v>
      </c>
      <c r="Q10" s="25">
        <v>1.33</v>
      </c>
      <c r="R10" s="10"/>
      <c r="S10" s="19">
        <f t="shared" si="0"/>
        <v>45219</v>
      </c>
      <c r="T10" s="25">
        <f t="shared" si="1"/>
        <v>1.33</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45250</v>
      </c>
      <c r="Q11" s="25">
        <v>1.38</v>
      </c>
      <c r="R11" s="10"/>
      <c r="S11" s="19">
        <f t="shared" si="0"/>
        <v>45250</v>
      </c>
      <c r="T11" s="25">
        <f t="shared" si="1"/>
        <v>1.38</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45280</v>
      </c>
      <c r="Q12" s="25">
        <v>1.33</v>
      </c>
      <c r="R12" s="10"/>
      <c r="S12" s="19">
        <f t="shared" si="0"/>
        <v>45280</v>
      </c>
      <c r="T12" s="25">
        <f t="shared" si="1"/>
        <v>1.33</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45311</v>
      </c>
      <c r="Q13" s="25">
        <v>1.38</v>
      </c>
      <c r="R13" s="10"/>
      <c r="S13" s="19">
        <f t="shared" si="0"/>
        <v>45311</v>
      </c>
      <c r="T13" s="25">
        <f t="shared" si="1"/>
        <v>1.38</v>
      </c>
      <c r="U13" s="25">
        <f t="shared" si="2"/>
        <v>0</v>
      </c>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四川赛康智能科技股份有限公司</v>
      </c>
      <c r="C26" s="9" t="str">
        <f t="shared" ref="C26:G26" si="3">C4</f>
        <v>成都高新区市场监督管理局</v>
      </c>
      <c r="D26" s="9" t="str">
        <f t="shared" si="3"/>
        <v>9151007528151223</v>
      </c>
      <c r="E26" s="9" t="str">
        <f t="shared" si="3"/>
        <v>私营企业</v>
      </c>
      <c r="F26" s="9" t="str">
        <f t="shared" si="3"/>
        <v>成都市高新区税务局</v>
      </c>
      <c r="G26" s="9" t="str">
        <f t="shared" si="3"/>
        <v>成都银行股份有限公司科技支行1001300000216171</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四川赛康智能科技股份有限公司</v>
      </c>
      <c r="C48" s="9" t="str">
        <f t="shared" ref="C48:G48" si="7">C26</f>
        <v>成都高新区市场监督管理局</v>
      </c>
      <c r="D48" s="9" t="str">
        <f t="shared" si="7"/>
        <v>9151007528151223</v>
      </c>
      <c r="E48" s="9" t="str">
        <f t="shared" si="7"/>
        <v>私营企业</v>
      </c>
      <c r="F48" s="9" t="str">
        <f t="shared" si="7"/>
        <v>成都市高新区税务局</v>
      </c>
      <c r="G48" s="9" t="str">
        <f t="shared" si="7"/>
        <v>成都银行股份有限公司科技支行1001300000216171</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四川赛康智能科技股份有限公司</v>
      </c>
      <c r="C70" s="9" t="str">
        <f t="shared" ref="C70:G70" si="10">C48</f>
        <v>成都高新区市场监督管理局</v>
      </c>
      <c r="D70" s="9" t="str">
        <f t="shared" si="10"/>
        <v>9151007528151223</v>
      </c>
      <c r="E70" s="9" t="str">
        <f t="shared" si="10"/>
        <v>私营企业</v>
      </c>
      <c r="F70" s="9" t="str">
        <f t="shared" si="10"/>
        <v>成都市高新区税务局</v>
      </c>
      <c r="G70" s="9" t="str">
        <f t="shared" si="10"/>
        <v>成都银行股份有限公司科技支行1001300000216171</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四川赛康智能科技股份有限公司</v>
      </c>
      <c r="C92" s="9" t="str">
        <f t="shared" ref="C92:G92" si="11">C70</f>
        <v>成都高新区市场监督管理局</v>
      </c>
      <c r="D92" s="9" t="str">
        <f t="shared" si="11"/>
        <v>9151007528151223</v>
      </c>
      <c r="E92" s="9" t="str">
        <f t="shared" si="11"/>
        <v>私营企业</v>
      </c>
      <c r="F92" s="9" t="str">
        <f t="shared" si="11"/>
        <v>成都市高新区税务局</v>
      </c>
      <c r="G92" s="9" t="str">
        <f t="shared" si="11"/>
        <v>成都银行股份有限公司科技支行1001300000216171</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22">
        <f>R92+R70+R48+R26+R4</f>
        <v>5.0999999999999996</v>
      </c>
      <c r="S114" s="9"/>
      <c r="T114" s="9"/>
      <c r="U114" s="9"/>
      <c r="V114" s="9"/>
      <c r="W114" s="9"/>
      <c r="X114" s="9"/>
      <c r="Y114" s="9">
        <f>Y92+Y70+Y48+Y26++Y4</f>
        <v>5.09</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AC117"/>
  <sheetViews>
    <sheetView workbookViewId="0">
      <pane ySplit="3" topLeftCell="A4" activePane="bottomLeft" state="frozen"/>
      <selection pane="bottomLeft" activeCell="AF4" sqref="AF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成都创科升电子科技有限责任公司审计明细表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603</v>
      </c>
      <c r="C4" s="43" t="s">
        <v>1288</v>
      </c>
      <c r="D4" s="49" t="s">
        <v>1365</v>
      </c>
      <c r="E4" s="43" t="s">
        <v>1366</v>
      </c>
      <c r="F4" s="43" t="s">
        <v>1290</v>
      </c>
      <c r="G4" s="43" t="s">
        <v>1229</v>
      </c>
      <c r="H4" s="43" t="s">
        <v>958</v>
      </c>
      <c r="I4" s="43" t="s">
        <v>1296</v>
      </c>
      <c r="J4" s="43" t="s">
        <v>73</v>
      </c>
      <c r="K4" s="43">
        <v>300</v>
      </c>
      <c r="L4" s="43" t="s">
        <v>1367</v>
      </c>
      <c r="M4" s="49" t="s">
        <v>1368</v>
      </c>
      <c r="N4" s="65">
        <v>44998</v>
      </c>
      <c r="O4" s="65">
        <v>45291</v>
      </c>
      <c r="P4" s="43">
        <f>P15-N4</f>
        <v>313</v>
      </c>
      <c r="Q4" s="55">
        <f>SUM(Q5:Q26)</f>
        <v>10.3</v>
      </c>
      <c r="R4" s="55">
        <v>2.4</v>
      </c>
      <c r="S4" s="43"/>
      <c r="T4" s="55">
        <f>SUM(T5:T26)</f>
        <v>10.42</v>
      </c>
      <c r="U4" s="56">
        <v>0.04</v>
      </c>
      <c r="V4" s="50"/>
      <c r="W4" s="43" t="s">
        <v>42</v>
      </c>
      <c r="X4" s="57">
        <v>0.01</v>
      </c>
      <c r="Y4" s="43">
        <f>ROUNDDOWN(IF((O4-N4+1)*K4*X4/365&gt;R4,R4,(O4-N4+1)*K4*X4/365),2)</f>
        <v>2.4</v>
      </c>
      <c r="Z4" s="55">
        <f>R4-Y4</f>
        <v>0</v>
      </c>
      <c r="AA4" s="55"/>
      <c r="AB4" s="43" t="s">
        <v>1369</v>
      </c>
    </row>
    <row r="5" spans="1:29" s="35" customFormat="1">
      <c r="A5" s="44"/>
      <c r="B5" s="44"/>
      <c r="C5" s="44"/>
      <c r="D5" s="44"/>
      <c r="E5" s="44"/>
      <c r="F5" s="44"/>
      <c r="G5" s="44"/>
      <c r="H5" s="44"/>
      <c r="I5" s="44"/>
      <c r="J5" s="44"/>
      <c r="K5" s="44"/>
      <c r="L5" s="44"/>
      <c r="M5" s="63"/>
      <c r="N5" s="52"/>
      <c r="O5" s="65">
        <v>45360</v>
      </c>
      <c r="P5" s="53">
        <v>45006</v>
      </c>
      <c r="Q5" s="58">
        <v>0.16</v>
      </c>
      <c r="R5" s="44"/>
      <c r="S5" s="53">
        <v>45006</v>
      </c>
      <c r="T5" s="58">
        <f>(S5-N4)/360*$U$4*$K$4</f>
        <v>0.27</v>
      </c>
      <c r="U5" s="58">
        <f>T5-Q5</f>
        <v>0.11</v>
      </c>
      <c r="V5" s="52"/>
      <c r="W5" s="44"/>
      <c r="X5" s="44"/>
      <c r="Y5" s="62"/>
      <c r="Z5" s="44"/>
      <c r="AA5" s="44"/>
      <c r="AB5" s="44"/>
    </row>
    <row r="6" spans="1:29" s="35" customFormat="1">
      <c r="A6" s="44"/>
      <c r="B6" s="44"/>
      <c r="C6" s="44"/>
      <c r="D6" s="44"/>
      <c r="E6" s="44"/>
      <c r="F6" s="44"/>
      <c r="G6" s="44"/>
      <c r="H6" s="44"/>
      <c r="I6" s="44"/>
      <c r="J6" s="44"/>
      <c r="K6" s="44"/>
      <c r="L6" s="44"/>
      <c r="M6" s="63"/>
      <c r="N6" s="52"/>
      <c r="O6" s="53"/>
      <c r="P6" s="53">
        <v>45037</v>
      </c>
      <c r="Q6" s="58">
        <v>0.99</v>
      </c>
      <c r="R6" s="44"/>
      <c r="S6" s="53">
        <v>45037</v>
      </c>
      <c r="T6" s="58">
        <f>(S6-S5)/360*$U$4*$K$4</f>
        <v>1.03</v>
      </c>
      <c r="U6" s="58">
        <f>T6-Q6</f>
        <v>0.04</v>
      </c>
      <c r="V6" s="52"/>
      <c r="W6" s="44"/>
      <c r="X6" s="44"/>
      <c r="Y6" s="62"/>
      <c r="Z6" s="44"/>
      <c r="AA6" s="44"/>
      <c r="AB6" s="44"/>
    </row>
    <row r="7" spans="1:29" s="35" customFormat="1">
      <c r="A7" s="44"/>
      <c r="B7" s="44"/>
      <c r="C7" s="44"/>
      <c r="D7" s="44"/>
      <c r="E7" s="44"/>
      <c r="F7" s="44"/>
      <c r="G7" s="44"/>
      <c r="H7" s="44"/>
      <c r="I7" s="44"/>
      <c r="J7" s="44"/>
      <c r="K7" s="44"/>
      <c r="L7" s="44"/>
      <c r="M7" s="44"/>
      <c r="N7" s="52"/>
      <c r="O7" s="53"/>
      <c r="P7" s="53">
        <v>45067</v>
      </c>
      <c r="Q7" s="58">
        <v>1</v>
      </c>
      <c r="R7" s="44"/>
      <c r="S7" s="53">
        <v>45067</v>
      </c>
      <c r="T7" s="58">
        <f>(S7-S6)/360*$U$4*$K$4</f>
        <v>1</v>
      </c>
      <c r="U7" s="58">
        <f t="shared" ref="U7:U15" si="0">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45098</v>
      </c>
      <c r="Q8" s="58">
        <v>1.03</v>
      </c>
      <c r="R8" s="44"/>
      <c r="S8" s="53">
        <v>45098</v>
      </c>
      <c r="T8" s="58">
        <f t="shared" ref="T8:T15" si="1">(S8-S7)/360*$U$4*$K$4</f>
        <v>1.03</v>
      </c>
      <c r="U8" s="58">
        <f t="shared" si="0"/>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45128</v>
      </c>
      <c r="Q9" s="58">
        <v>1</v>
      </c>
      <c r="R9" s="44"/>
      <c r="S9" s="53">
        <v>45128</v>
      </c>
      <c r="T9" s="58">
        <f t="shared" si="1"/>
        <v>1</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45159</v>
      </c>
      <c r="Q10" s="58">
        <v>1.03</v>
      </c>
      <c r="R10" s="44"/>
      <c r="S10" s="53">
        <v>45159</v>
      </c>
      <c r="T10" s="58">
        <f t="shared" si="1"/>
        <v>1.03</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45190</v>
      </c>
      <c r="Q11" s="58">
        <v>1.03</v>
      </c>
      <c r="R11" s="44"/>
      <c r="S11" s="53">
        <v>45190</v>
      </c>
      <c r="T11" s="58">
        <f t="shared" si="1"/>
        <v>1.03</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45220</v>
      </c>
      <c r="Q12" s="58">
        <v>1</v>
      </c>
      <c r="R12" s="44"/>
      <c r="S12" s="53">
        <v>45220</v>
      </c>
      <c r="T12" s="58">
        <f t="shared" si="1"/>
        <v>1</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45251</v>
      </c>
      <c r="Q13" s="58">
        <v>1.03</v>
      </c>
      <c r="R13" s="44"/>
      <c r="S13" s="53">
        <v>45251</v>
      </c>
      <c r="T13" s="58">
        <f t="shared" si="1"/>
        <v>1.03</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45281</v>
      </c>
      <c r="Q14" s="58">
        <v>1</v>
      </c>
      <c r="R14" s="44"/>
      <c r="S14" s="53">
        <v>45281</v>
      </c>
      <c r="T14" s="58">
        <f t="shared" si="1"/>
        <v>1</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45311</v>
      </c>
      <c r="Q15" s="58">
        <v>1.03</v>
      </c>
      <c r="R15" s="44"/>
      <c r="S15" s="53">
        <v>45311</v>
      </c>
      <c r="T15" s="58">
        <f t="shared" si="1"/>
        <v>1</v>
      </c>
      <c r="U15" s="58">
        <f t="shared" si="0"/>
        <v>-0.03</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成都创科升电子科技有限责任公司</v>
      </c>
      <c r="C27" s="43" t="str">
        <f t="shared" ref="C27:G27" si="2">C4</f>
        <v>龙泉驿区行政审批局</v>
      </c>
      <c r="D27" s="43" t="str">
        <f t="shared" si="2"/>
        <v>91510112MA61RPYB03</v>
      </c>
      <c r="E27" s="43" t="str">
        <f t="shared" si="2"/>
        <v>私营（有限责任公司）</v>
      </c>
      <c r="F27" s="43" t="str">
        <f t="shared" si="2"/>
        <v>龙泉驿区税务局</v>
      </c>
      <c r="G27" s="43" t="str">
        <f t="shared" si="2"/>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成都创科升电子科技有限责任公司</v>
      </c>
      <c r="C49" s="43" t="str">
        <f t="shared" ref="C49:G49" si="3">C27</f>
        <v>龙泉驿区行政审批局</v>
      </c>
      <c r="D49" s="43" t="str">
        <f t="shared" si="3"/>
        <v>91510112MA61RPYB03</v>
      </c>
      <c r="E49" s="43" t="str">
        <f t="shared" si="3"/>
        <v>私营（有限责任公司）</v>
      </c>
      <c r="F49" s="43" t="str">
        <f t="shared" si="3"/>
        <v>龙泉驿区税务局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成都创科升电子科技有限责任公司</v>
      </c>
      <c r="C71" s="43" t="str">
        <f t="shared" ref="C71:G71" si="4">C49</f>
        <v>龙泉驿区行政审批局</v>
      </c>
      <c r="D71" s="43" t="str">
        <f t="shared" si="4"/>
        <v>91510112MA61RPYB03</v>
      </c>
      <c r="E71" s="43" t="str">
        <f t="shared" si="4"/>
        <v>私营（有限责任公司）</v>
      </c>
      <c r="F71" s="43" t="str">
        <f t="shared" si="4"/>
        <v>龙泉驿区税务局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成都创科升电子科技有限责任公司</v>
      </c>
      <c r="C93" s="43" t="str">
        <f t="shared" ref="C93:G93" si="5">C71</f>
        <v>龙泉驿区行政审批局</v>
      </c>
      <c r="D93" s="43" t="str">
        <f t="shared" si="5"/>
        <v>91510112MA61RPYB03</v>
      </c>
      <c r="E93" s="43" t="str">
        <f t="shared" si="5"/>
        <v>私营（有限责任公司）</v>
      </c>
      <c r="F93" s="43" t="str">
        <f t="shared" si="5"/>
        <v>龙泉驿区税务局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v>
      </c>
      <c r="L115" s="43"/>
      <c r="M115" s="43"/>
      <c r="N115" s="50"/>
      <c r="O115" s="50"/>
      <c r="P115" s="43"/>
      <c r="Q115" s="43"/>
      <c r="R115" s="43"/>
      <c r="S115" s="43"/>
      <c r="T115" s="43"/>
      <c r="U115" s="43"/>
      <c r="V115" s="43"/>
      <c r="W115" s="43"/>
      <c r="X115" s="43"/>
      <c r="Y115" s="43">
        <f>Y93+Y71+Y49+Y27++Y4</f>
        <v>2.4</v>
      </c>
      <c r="Z115" s="43"/>
      <c r="AA115" s="43"/>
      <c r="AB115" s="43"/>
    </row>
    <row r="116" spans="1:28">
      <c r="I116" s="36" t="s">
        <v>49</v>
      </c>
      <c r="K116" s="36">
        <f>IF(K115&gt;3000,K117,K115)</f>
        <v>300</v>
      </c>
    </row>
    <row r="117" spans="1:28" hidden="1">
      <c r="K117" s="36">
        <f>IF(K116&gt;3000,K118,K116)</f>
        <v>300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drawing r:id="rId1"/>
  <legacy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成都尚明工业有限公司审计明细表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650</v>
      </c>
      <c r="C4" s="43" t="s">
        <v>1353</v>
      </c>
      <c r="D4" s="49" t="s">
        <v>1370</v>
      </c>
      <c r="E4" s="43" t="s">
        <v>1371</v>
      </c>
      <c r="F4" s="43" t="s">
        <v>1290</v>
      </c>
      <c r="G4" s="43" t="s">
        <v>1229</v>
      </c>
      <c r="H4" s="43" t="s">
        <v>71</v>
      </c>
      <c r="I4" s="43" t="s">
        <v>1372</v>
      </c>
      <c r="J4" s="43" t="s">
        <v>73</v>
      </c>
      <c r="K4" s="43">
        <v>1000</v>
      </c>
      <c r="L4" s="43" t="s">
        <v>1373</v>
      </c>
      <c r="M4" s="49" t="s">
        <v>1374</v>
      </c>
      <c r="N4" s="65">
        <v>45240</v>
      </c>
      <c r="O4" s="65">
        <v>45291</v>
      </c>
      <c r="P4" s="43">
        <f>P6-N4</f>
        <v>72</v>
      </c>
      <c r="Q4" s="55">
        <f>SUM(Q5:Q26)</f>
        <v>6</v>
      </c>
      <c r="R4" s="55">
        <v>2.1</v>
      </c>
      <c r="S4" s="43"/>
      <c r="T4" s="55">
        <f>SUM(T5:T26)</f>
        <v>6</v>
      </c>
      <c r="U4" s="56">
        <v>0.03</v>
      </c>
      <c r="V4" s="50"/>
      <c r="W4" s="43" t="s">
        <v>42</v>
      </c>
      <c r="X4" s="57">
        <v>1.4999999999999999E-2</v>
      </c>
      <c r="Y4" s="43">
        <f>ROUNDDOWN(IF((O4-N4+1)*K4*X4/365&gt;R4,R4,(O4-N4+1)*K4*X4/365),2)</f>
        <v>2.1</v>
      </c>
      <c r="Z4" s="55">
        <f>R4-Y4</f>
        <v>0</v>
      </c>
      <c r="AA4" s="55"/>
      <c r="AB4" s="43" t="s">
        <v>61</v>
      </c>
    </row>
    <row r="5" spans="1:29" s="35" customFormat="1">
      <c r="A5" s="44"/>
      <c r="B5" s="44"/>
      <c r="C5" s="44"/>
      <c r="D5" s="44"/>
      <c r="E5" s="44"/>
      <c r="F5" s="44"/>
      <c r="G5" s="44"/>
      <c r="H5" s="44"/>
      <c r="I5" s="44"/>
      <c r="J5" s="44"/>
      <c r="K5" s="44"/>
      <c r="L5" s="44"/>
      <c r="M5" s="63"/>
      <c r="N5" s="52"/>
      <c r="O5" s="65">
        <v>45604</v>
      </c>
      <c r="P5" s="53">
        <v>45281</v>
      </c>
      <c r="Q5" s="58">
        <v>3.42</v>
      </c>
      <c r="R5" s="44"/>
      <c r="S5" s="53">
        <v>45281</v>
      </c>
      <c r="T5" s="58">
        <f>(S5-N4)/360*$U$4*$K$4</f>
        <v>3.42</v>
      </c>
      <c r="U5" s="58">
        <f>T5-Q5</f>
        <v>0</v>
      </c>
      <c r="V5" s="52"/>
      <c r="W5" s="44"/>
      <c r="X5" s="44"/>
      <c r="Y5" s="62"/>
      <c r="Z5" s="44"/>
      <c r="AA5" s="44"/>
      <c r="AB5" s="44"/>
    </row>
    <row r="6" spans="1:29" s="35" customFormat="1">
      <c r="A6" s="44"/>
      <c r="B6" s="44"/>
      <c r="C6" s="44"/>
      <c r="D6" s="44"/>
      <c r="E6" s="44"/>
      <c r="F6" s="44"/>
      <c r="G6" s="44"/>
      <c r="H6" s="44"/>
      <c r="I6" s="44"/>
      <c r="J6" s="44"/>
      <c r="K6" s="44"/>
      <c r="L6" s="44"/>
      <c r="M6" s="63"/>
      <c r="N6" s="52"/>
      <c r="O6" s="53"/>
      <c r="P6" s="53">
        <v>45312</v>
      </c>
      <c r="Q6" s="58">
        <v>2.58</v>
      </c>
      <c r="R6" s="44"/>
      <c r="S6" s="53">
        <v>45312</v>
      </c>
      <c r="T6" s="58">
        <f>(S6-S5)/360*$U$4*$K$4</f>
        <v>2.58</v>
      </c>
      <c r="U6" s="58">
        <f>T6-Q6</f>
        <v>0</v>
      </c>
      <c r="V6" s="52"/>
      <c r="W6" s="44"/>
      <c r="X6" s="44"/>
      <c r="Y6" s="62"/>
      <c r="Z6" s="44"/>
      <c r="AA6" s="44"/>
      <c r="AB6" s="44"/>
    </row>
    <row r="7" spans="1:29" s="35" customFormat="1">
      <c r="A7" s="44"/>
      <c r="B7" s="44"/>
      <c r="C7" s="44"/>
      <c r="D7" s="44"/>
      <c r="E7" s="44"/>
      <c r="F7" s="44"/>
      <c r="G7" s="44"/>
      <c r="H7" s="44"/>
      <c r="I7" s="44"/>
      <c r="J7" s="44"/>
      <c r="K7" s="44"/>
      <c r="L7" s="44"/>
      <c r="M7" s="44"/>
      <c r="N7" s="52"/>
      <c r="O7" s="53"/>
      <c r="P7" s="53"/>
      <c r="Q7" s="58"/>
      <c r="R7" s="44"/>
      <c r="S7" s="53"/>
      <c r="T7" s="58"/>
      <c r="U7" s="58"/>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成都尚明工业有限公司</v>
      </c>
      <c r="C27" s="43" t="str">
        <f t="shared" ref="C27:G27" si="0">C4</f>
        <v>龙泉驿区市场监督管理局</v>
      </c>
      <c r="D27" s="43" t="str">
        <f t="shared" si="0"/>
        <v>915101122023431073</v>
      </c>
      <c r="E27" s="43" t="str">
        <f t="shared" si="0"/>
        <v>中小微</v>
      </c>
      <c r="F27" s="43" t="str">
        <f t="shared" si="0"/>
        <v>龙泉驿区税务局</v>
      </c>
      <c r="G27" s="43" t="str">
        <f t="shared" si="0"/>
        <v>收款账号：511610018010210321008
开户行：交通银行成都双流棠湖支行</v>
      </c>
      <c r="H27" s="43"/>
      <c r="I27" s="43"/>
      <c r="J27" s="43"/>
      <c r="K27" s="43"/>
      <c r="L27" s="43"/>
      <c r="M27" s="43"/>
      <c r="N27" s="83"/>
      <c r="O27" s="83"/>
      <c r="P27" s="43"/>
      <c r="Q27" s="55"/>
      <c r="R27" s="66"/>
      <c r="S27" s="43"/>
      <c r="T27" s="55"/>
      <c r="U27" s="56"/>
      <c r="V27" s="50"/>
      <c r="W27" s="43"/>
      <c r="X27" s="57"/>
      <c r="Y27" s="43"/>
      <c r="Z27" s="55"/>
      <c r="AA27" s="55"/>
      <c r="AB27" s="43"/>
    </row>
    <row r="28" spans="1:28" s="35" customFormat="1" hidden="1">
      <c r="A28" s="44"/>
      <c r="B28" s="44"/>
      <c r="C28" s="44"/>
      <c r="D28" s="44"/>
      <c r="E28" s="44"/>
      <c r="F28" s="44"/>
      <c r="G28" s="44"/>
      <c r="H28" s="44"/>
      <c r="I28" s="44"/>
      <c r="J28" s="44"/>
      <c r="K28" s="44"/>
      <c r="L28" s="44"/>
      <c r="M28" s="44"/>
      <c r="N28" s="85"/>
      <c r="O28" s="85"/>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成都尚明工业有限公司</v>
      </c>
      <c r="C49" s="43" t="str">
        <f t="shared" ref="C49:G49" si="1">C27</f>
        <v>龙泉驿区市场监督管理局</v>
      </c>
      <c r="D49" s="43" t="str">
        <f t="shared" si="1"/>
        <v>915101122023431073</v>
      </c>
      <c r="E49" s="43" t="str">
        <f t="shared" si="1"/>
        <v>中小微</v>
      </c>
      <c r="F49" s="43" t="str">
        <f t="shared" si="1"/>
        <v>龙泉驿区税务局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成都尚明工业有限公司</v>
      </c>
      <c r="C71" s="43" t="str">
        <f t="shared" ref="C71:G71" si="2">C49</f>
        <v>龙泉驿区市场监督管理局</v>
      </c>
      <c r="D71" s="43" t="str">
        <f t="shared" si="2"/>
        <v>915101122023431073</v>
      </c>
      <c r="E71" s="43" t="str">
        <f t="shared" si="2"/>
        <v>中小微</v>
      </c>
      <c r="F71" s="43" t="str">
        <f t="shared" si="2"/>
        <v>龙泉驿区税务局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成都尚明工业有限公司</v>
      </c>
      <c r="C93" s="43" t="str">
        <f t="shared" ref="C93:G93" si="3">C71</f>
        <v>龙泉驿区市场监督管理局</v>
      </c>
      <c r="D93" s="43" t="str">
        <f t="shared" si="3"/>
        <v>915101122023431073</v>
      </c>
      <c r="E93" s="43" t="str">
        <f t="shared" si="3"/>
        <v>中小微</v>
      </c>
      <c r="F93" s="43" t="str">
        <f t="shared" si="3"/>
        <v>龙泉驿区税务局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2.1</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C117"/>
  <sheetViews>
    <sheetView topLeftCell="M1" zoomScale="90" zoomScaleNormal="90"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四川空分集团工程有限公司审计明细表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709</v>
      </c>
      <c r="C4" s="43" t="s">
        <v>1375</v>
      </c>
      <c r="D4" s="49" t="s">
        <v>1376</v>
      </c>
      <c r="E4" s="43" t="s">
        <v>121</v>
      </c>
      <c r="F4" s="43" t="s">
        <v>1377</v>
      </c>
      <c r="G4" s="43" t="s">
        <v>1229</v>
      </c>
      <c r="H4" s="43" t="s">
        <v>156</v>
      </c>
      <c r="I4" s="43" t="s">
        <v>1378</v>
      </c>
      <c r="J4" s="43" t="s">
        <v>73</v>
      </c>
      <c r="K4" s="43">
        <v>2000</v>
      </c>
      <c r="L4" s="43" t="s">
        <v>1379</v>
      </c>
      <c r="M4" s="49" t="s">
        <v>1380</v>
      </c>
      <c r="N4" s="65">
        <v>44882</v>
      </c>
      <c r="O4" s="65">
        <v>45110</v>
      </c>
      <c r="P4" s="43">
        <f>P12-N4</f>
        <v>228</v>
      </c>
      <c r="Q4" s="55">
        <f>SUM(Q5:Q26)</f>
        <v>51.3</v>
      </c>
      <c r="R4" s="55">
        <v>25.33</v>
      </c>
      <c r="S4" s="43"/>
      <c r="T4" s="55">
        <f>SUM(T5:T26)</f>
        <v>51.32</v>
      </c>
      <c r="U4" s="56">
        <v>4.0500000000000001E-2</v>
      </c>
      <c r="V4" s="50"/>
      <c r="W4" s="43" t="s">
        <v>1381</v>
      </c>
      <c r="X4" s="57">
        <v>0.02</v>
      </c>
      <c r="Y4" s="43">
        <f>ROUNDDOWN(IF((O4-N4+1)*K4*X4/365&gt;R4,R4,(O4-N4+1)*K4*X4/365),2)</f>
        <v>25.09</v>
      </c>
      <c r="Z4" s="55">
        <f>R4-Y4</f>
        <v>0.24</v>
      </c>
      <c r="AA4" s="55" t="s">
        <v>108</v>
      </c>
      <c r="AB4" s="43" t="s">
        <v>61</v>
      </c>
    </row>
    <row r="5" spans="1:29" s="35" customFormat="1">
      <c r="A5" s="44"/>
      <c r="B5" s="44"/>
      <c r="C5" s="44"/>
      <c r="D5" s="44"/>
      <c r="E5" s="44"/>
      <c r="F5" s="44"/>
      <c r="G5" s="44"/>
      <c r="H5" s="44"/>
      <c r="I5" s="44"/>
      <c r="J5" s="44"/>
      <c r="K5" s="44"/>
      <c r="L5" s="44"/>
      <c r="M5" s="63"/>
      <c r="N5" s="52"/>
      <c r="O5" s="52"/>
      <c r="P5" s="53">
        <v>44916</v>
      </c>
      <c r="Q5" s="58">
        <v>7.65</v>
      </c>
      <c r="R5" s="44"/>
      <c r="S5" s="53">
        <v>44916</v>
      </c>
      <c r="T5" s="58">
        <f>(S5-N4)/360*$U$4*$K$4</f>
        <v>7.65</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44947</v>
      </c>
      <c r="Q6" s="58">
        <v>6.9749999999999996</v>
      </c>
      <c r="R6" s="44"/>
      <c r="S6" s="53">
        <v>44947</v>
      </c>
      <c r="T6" s="58">
        <f>(S6-S5)/360*$U$4*$K$4</f>
        <v>6.98</v>
      </c>
      <c r="U6" s="58">
        <f>T6-Q6</f>
        <v>0.01</v>
      </c>
      <c r="V6" s="52"/>
      <c r="W6" s="44"/>
      <c r="X6" s="44"/>
      <c r="Y6" s="44"/>
      <c r="Z6" s="44"/>
      <c r="AA6" s="44"/>
      <c r="AB6" s="44"/>
    </row>
    <row r="7" spans="1:29" s="35" customFormat="1">
      <c r="A7" s="44"/>
      <c r="B7" s="44"/>
      <c r="C7" s="44"/>
      <c r="D7" s="44"/>
      <c r="E7" s="44"/>
      <c r="F7" s="44"/>
      <c r="G7" s="44"/>
      <c r="H7" s="44"/>
      <c r="I7" s="44"/>
      <c r="J7" s="44"/>
      <c r="K7" s="44"/>
      <c r="L7" s="44"/>
      <c r="M7" s="44"/>
      <c r="N7" s="52"/>
      <c r="O7" s="53"/>
      <c r="P7" s="53">
        <v>44978</v>
      </c>
      <c r="Q7" s="58">
        <v>6.9749999999999996</v>
      </c>
      <c r="R7" s="44"/>
      <c r="S7" s="53">
        <v>44978</v>
      </c>
      <c r="T7" s="58">
        <f>(S7-S6)*$K$4*$U$4/360</f>
        <v>6.98</v>
      </c>
      <c r="U7" s="58">
        <f>T7-Q7</f>
        <v>0.01</v>
      </c>
      <c r="V7" s="44"/>
      <c r="W7" s="44"/>
      <c r="X7" s="44"/>
      <c r="Y7" s="44"/>
      <c r="Z7" s="44"/>
      <c r="AA7" s="44"/>
      <c r="AB7" s="44"/>
    </row>
    <row r="8" spans="1:29" s="35" customFormat="1">
      <c r="A8" s="44"/>
      <c r="B8" s="44"/>
      <c r="C8" s="44"/>
      <c r="D8" s="44"/>
      <c r="E8" s="44"/>
      <c r="F8" s="44"/>
      <c r="G8" s="44"/>
      <c r="H8" s="44"/>
      <c r="I8" s="44"/>
      <c r="J8" s="44"/>
      <c r="K8" s="44"/>
      <c r="L8" s="44"/>
      <c r="M8" s="44"/>
      <c r="N8" s="52"/>
      <c r="O8" s="52"/>
      <c r="P8" s="53">
        <v>45006</v>
      </c>
      <c r="Q8" s="58">
        <v>6.3</v>
      </c>
      <c r="R8" s="44"/>
      <c r="S8" s="53">
        <v>45006</v>
      </c>
      <c r="T8" s="58">
        <f t="shared" ref="T8:T12" si="0">(S8-S7)*$K$4*$U$4/360</f>
        <v>6.3</v>
      </c>
      <c r="U8" s="58">
        <f t="shared" ref="U8:U12"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45037</v>
      </c>
      <c r="Q9" s="58">
        <v>6.9749999999999996</v>
      </c>
      <c r="R9" s="44"/>
      <c r="S9" s="53">
        <v>45037</v>
      </c>
      <c r="T9" s="58">
        <f t="shared" si="0"/>
        <v>6.98</v>
      </c>
      <c r="U9" s="58">
        <f t="shared" si="1"/>
        <v>0.01</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45067</v>
      </c>
      <c r="Q10" s="58">
        <v>6.75</v>
      </c>
      <c r="R10" s="44"/>
      <c r="S10" s="53">
        <v>45067</v>
      </c>
      <c r="T10" s="58">
        <f t="shared" si="0"/>
        <v>6.75</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45098</v>
      </c>
      <c r="Q11" s="58">
        <v>6.9749999999999996</v>
      </c>
      <c r="R11" s="44"/>
      <c r="S11" s="53">
        <v>45098</v>
      </c>
      <c r="T11" s="58">
        <f t="shared" si="0"/>
        <v>6.98</v>
      </c>
      <c r="U11" s="58">
        <f t="shared" si="1"/>
        <v>0.01</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45110</v>
      </c>
      <c r="Q12" s="58">
        <v>2.7</v>
      </c>
      <c r="R12" s="44"/>
      <c r="S12" s="53">
        <v>45110</v>
      </c>
      <c r="T12" s="58">
        <f t="shared" si="0"/>
        <v>2.7</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四川空分集团工程有限公司</v>
      </c>
      <c r="C27" s="43" t="str">
        <f t="shared" ref="C27:G27" si="2">C4</f>
        <v>成都市武侯区行政审批局</v>
      </c>
      <c r="D27" s="43" t="str">
        <f t="shared" si="2"/>
        <v>91510107765355778Q</v>
      </c>
      <c r="E27" s="43" t="str">
        <f t="shared" si="2"/>
        <v>其他有限责任公司</v>
      </c>
      <c r="F27" s="43" t="str">
        <f t="shared" si="2"/>
        <v>成都市武侯区税务局</v>
      </c>
      <c r="G27" s="43" t="str">
        <f t="shared" si="2"/>
        <v>收款账号：511610018010210321008
开户行：交通银行成都双流棠湖支行</v>
      </c>
      <c r="H27" s="43" t="s">
        <v>156</v>
      </c>
      <c r="I27" s="43" t="s">
        <v>1378</v>
      </c>
      <c r="J27" s="43" t="s">
        <v>294</v>
      </c>
      <c r="K27" s="43">
        <v>2000</v>
      </c>
      <c r="L27" s="43" t="s">
        <v>1382</v>
      </c>
      <c r="M27" s="43" t="s">
        <v>1383</v>
      </c>
      <c r="N27" s="83">
        <v>45111</v>
      </c>
      <c r="O27" s="83">
        <v>45291</v>
      </c>
      <c r="P27" s="43">
        <f>P33-N27</f>
        <v>201</v>
      </c>
      <c r="Q27" s="55">
        <f>SUM(Q28:Q34)</f>
        <v>48.04</v>
      </c>
      <c r="R27" s="66">
        <v>18.89</v>
      </c>
      <c r="S27" s="43"/>
      <c r="T27" s="55">
        <f>SUM(T28:T33)</f>
        <v>48.04</v>
      </c>
      <c r="U27" s="56">
        <v>4.2999999999999997E-2</v>
      </c>
      <c r="V27" s="50"/>
      <c r="W27" s="43" t="s">
        <v>42</v>
      </c>
      <c r="X27" s="57">
        <v>0.02</v>
      </c>
      <c r="Y27" s="43">
        <f>ROUNDDOWN(IF((O27-N27+1)*K27*X27/365&gt;R27,R27,(O27-N27+1)*K27*X27/365),2)</f>
        <v>18.89</v>
      </c>
      <c r="Z27" s="55">
        <f>R27-Y27</f>
        <v>0</v>
      </c>
      <c r="AA27" s="55"/>
      <c r="AB27" s="43" t="s">
        <v>61</v>
      </c>
    </row>
    <row r="28" spans="1:28" s="35" customFormat="1">
      <c r="A28" s="44"/>
      <c r="B28" s="44"/>
      <c r="C28" s="44"/>
      <c r="D28" s="44"/>
      <c r="E28" s="44"/>
      <c r="F28" s="44"/>
      <c r="G28" s="44"/>
      <c r="H28" s="44"/>
      <c r="I28" s="44"/>
      <c r="J28" s="44"/>
      <c r="K28" s="44"/>
      <c r="L28" s="44"/>
      <c r="M28" s="44"/>
      <c r="N28" s="85"/>
      <c r="O28" s="85">
        <v>45840</v>
      </c>
      <c r="P28" s="53">
        <v>45159</v>
      </c>
      <c r="Q28" s="58">
        <v>11.47</v>
      </c>
      <c r="R28" s="44"/>
      <c r="S28" s="53">
        <v>45159</v>
      </c>
      <c r="T28" s="58">
        <f>(S28-N27)/360*$U$27*$K$27</f>
        <v>11.47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45190</v>
      </c>
      <c r="Q29" s="58">
        <v>7.41</v>
      </c>
      <c r="R29" s="44"/>
      <c r="S29" s="53">
        <v>45190</v>
      </c>
      <c r="T29" s="58">
        <f>(S29-S28)/360*$U$27*$K$27</f>
        <v>7.41</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45220</v>
      </c>
      <c r="Q30" s="58">
        <v>7.17</v>
      </c>
      <c r="R30" s="44"/>
      <c r="S30" s="53">
        <v>45220</v>
      </c>
      <c r="T30" s="58">
        <f t="shared" ref="T30:T33" si="3">(S30-S29)/360*$U$27*$K$27</f>
        <v>7.17</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45251</v>
      </c>
      <c r="Q31" s="58">
        <v>7.41</v>
      </c>
      <c r="R31" s="44"/>
      <c r="S31" s="53">
        <v>45251</v>
      </c>
      <c r="T31" s="58">
        <f t="shared" si="3"/>
        <v>7.41</v>
      </c>
      <c r="U31" s="58">
        <f t="shared" ref="U31:U33"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45281</v>
      </c>
      <c r="Q32" s="58">
        <v>7.17</v>
      </c>
      <c r="R32" s="44"/>
      <c r="S32" s="53">
        <v>45281</v>
      </c>
      <c r="T32" s="58">
        <f t="shared" si="3"/>
        <v>7.17</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45312</v>
      </c>
      <c r="Q33" s="58">
        <v>7.41</v>
      </c>
      <c r="R33" s="44"/>
      <c r="S33" s="53">
        <v>45312</v>
      </c>
      <c r="T33" s="58">
        <f t="shared" si="3"/>
        <v>7.41</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四川空分集团工程有限公司</v>
      </c>
      <c r="C49" s="43" t="str">
        <f t="shared" ref="C49:G49" si="5">C27</f>
        <v>成都市武侯区行政审批局</v>
      </c>
      <c r="D49" s="43" t="str">
        <f t="shared" si="5"/>
        <v>91510107765355778Q</v>
      </c>
      <c r="E49" s="43" t="str">
        <f t="shared" si="5"/>
        <v>其他有限责任公司</v>
      </c>
      <c r="F49" s="43" t="str">
        <f t="shared" si="5"/>
        <v>成都市武侯区税务局</v>
      </c>
      <c r="G49" s="43" t="str">
        <f t="shared" si="5"/>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四川空分集团工程有限公司</v>
      </c>
      <c r="C71" s="43" t="str">
        <f t="shared" ref="C71:G71" si="6">C49</f>
        <v>成都市武侯区行政审批局</v>
      </c>
      <c r="D71" s="43" t="str">
        <f t="shared" si="6"/>
        <v>91510107765355778Q</v>
      </c>
      <c r="E71" s="43" t="str">
        <f t="shared" si="6"/>
        <v>其他有限责任公司</v>
      </c>
      <c r="F71" s="43" t="str">
        <f t="shared" si="6"/>
        <v>成都市武侯区税务局</v>
      </c>
      <c r="G71" s="43" t="str">
        <f t="shared" si="6"/>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四川空分集团工程有限公司</v>
      </c>
      <c r="C93" s="43" t="str">
        <f t="shared" ref="C93:G93" si="7">C71</f>
        <v>成都市武侯区行政审批局</v>
      </c>
      <c r="D93" s="43" t="str">
        <f t="shared" si="7"/>
        <v>91510107765355778Q</v>
      </c>
      <c r="E93" s="43" t="str">
        <f t="shared" si="7"/>
        <v>其他有限责任公司</v>
      </c>
      <c r="F93" s="43" t="str">
        <f t="shared" si="7"/>
        <v>成都市武侯区税务局</v>
      </c>
      <c r="G93" s="43" t="str">
        <f t="shared" si="7"/>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4000</v>
      </c>
      <c r="L115" s="43"/>
      <c r="M115" s="43"/>
      <c r="N115" s="50"/>
      <c r="O115" s="50"/>
      <c r="P115" s="43"/>
      <c r="Q115" s="43"/>
      <c r="R115" s="43"/>
      <c r="S115" s="43"/>
      <c r="T115" s="43"/>
      <c r="U115" s="43"/>
      <c r="V115" s="43"/>
      <c r="W115" s="43"/>
      <c r="X115" s="43"/>
      <c r="Y115" s="43">
        <f>Y93+Y71+Y49+Y27++Y4</f>
        <v>43.98</v>
      </c>
      <c r="Z115" s="43"/>
      <c r="AA115" s="43"/>
      <c r="AB115" s="43"/>
    </row>
    <row r="116" spans="1:28">
      <c r="I116" s="36" t="s">
        <v>49</v>
      </c>
      <c r="K116" s="36">
        <f ca="1">IF(K115&gt;3000,K117,K115)</f>
        <v>2000</v>
      </c>
    </row>
    <row r="117" spans="1:28" hidden="1">
      <c r="K117" s="36">
        <f ca="1">IF(K116&gt;3000,K118,K116)</f>
        <v>2000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AC117"/>
  <sheetViews>
    <sheetView topLeftCell="F1" workbookViewId="0">
      <pane ySplit="3" topLeftCell="A5" activePane="bottomLeft" state="frozen"/>
      <selection pane="bottomLeft" activeCell="Q18" sqref="Q18"/>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广电计量检测(成都)有限公司审计明细表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688</v>
      </c>
      <c r="C4" s="43" t="s">
        <v>1384</v>
      </c>
      <c r="D4" s="43" t="s">
        <v>1385</v>
      </c>
      <c r="E4" s="43" t="s">
        <v>146</v>
      </c>
      <c r="F4" s="43" t="s">
        <v>1386</v>
      </c>
      <c r="G4" s="43" t="s">
        <v>1229</v>
      </c>
      <c r="H4" s="43" t="s">
        <v>71</v>
      </c>
      <c r="I4" s="43" t="s">
        <v>1387</v>
      </c>
      <c r="J4" s="43" t="s">
        <v>73</v>
      </c>
      <c r="K4" s="43">
        <v>1000</v>
      </c>
      <c r="L4" s="43" t="s">
        <v>1388</v>
      </c>
      <c r="M4" s="49" t="s">
        <v>1389</v>
      </c>
      <c r="N4" s="65">
        <v>44916</v>
      </c>
      <c r="O4" s="65">
        <v>45275</v>
      </c>
      <c r="P4" s="43">
        <f>P16-N4</f>
        <v>359</v>
      </c>
      <c r="Q4" s="55">
        <f>SUM(Q5:Q26)</f>
        <v>29.33</v>
      </c>
      <c r="R4" s="55">
        <v>15</v>
      </c>
      <c r="S4" s="43"/>
      <c r="T4" s="55">
        <f>SUM(T5:T26)</f>
        <v>29.42</v>
      </c>
      <c r="U4" s="56">
        <v>2.9499999999999998E-2</v>
      </c>
      <c r="V4" s="50"/>
      <c r="W4" s="43" t="s">
        <v>42</v>
      </c>
      <c r="X4" s="57">
        <v>1.4999999999999999E-2</v>
      </c>
      <c r="Y4" s="43">
        <f>ROUNDDOWN(IF((O4-N4+1)*K4*X4/365&gt;R4,R4,(O4-N4+1)*K4*X4/365),2)</f>
        <v>14.79</v>
      </c>
      <c r="Z4" s="55">
        <f>R4-Y4</f>
        <v>0.21</v>
      </c>
      <c r="AA4" s="55" t="s">
        <v>485</v>
      </c>
      <c r="AB4" s="43" t="s">
        <v>61</v>
      </c>
    </row>
    <row r="5" spans="1:29" s="35" customFormat="1">
      <c r="A5" s="44"/>
      <c r="B5" s="44"/>
      <c r="C5" s="44"/>
      <c r="D5" s="44"/>
      <c r="E5" s="44"/>
      <c r="F5" s="44"/>
      <c r="G5" s="44"/>
      <c r="H5" s="44"/>
      <c r="I5" s="44"/>
      <c r="J5" s="44"/>
      <c r="K5" s="44"/>
      <c r="L5" s="44"/>
      <c r="M5" s="63"/>
      <c r="N5" s="52"/>
      <c r="O5" s="52"/>
      <c r="P5" s="53">
        <v>44947</v>
      </c>
      <c r="Q5" s="58">
        <v>2.54</v>
      </c>
      <c r="R5" s="44"/>
      <c r="S5" s="53">
        <v>44947</v>
      </c>
      <c r="T5" s="58">
        <f>(S5-N4)/360*$U$4*$K$4</f>
        <v>2.54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2.54</v>
      </c>
      <c r="R6" s="44"/>
      <c r="S6" s="53">
        <v>44978</v>
      </c>
      <c r="T6" s="58">
        <f>(S6-S5)/360*$U$4*$K$4</f>
        <v>2.54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2.29</v>
      </c>
      <c r="R7" s="44"/>
      <c r="S7" s="53">
        <v>45006</v>
      </c>
      <c r="T7" s="58">
        <f>(S7-S6)*$K$4*$U$4/360</f>
        <v>2.29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2.54</v>
      </c>
      <c r="R8" s="44"/>
      <c r="S8" s="53">
        <v>45037</v>
      </c>
      <c r="T8" s="58">
        <f t="shared" ref="T8:T16" si="0">(S8-S7)*$K$4*$U$4/360</f>
        <v>2.54</v>
      </c>
      <c r="U8" s="58">
        <f t="shared" ref="U8:U16"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2.46</v>
      </c>
      <c r="R9" s="44"/>
      <c r="S9" s="53">
        <v>45067</v>
      </c>
      <c r="T9" s="58">
        <f t="shared" si="0"/>
        <v>2.46</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2.54</v>
      </c>
      <c r="R10" s="44"/>
      <c r="S10" s="53">
        <v>45098</v>
      </c>
      <c r="T10" s="58">
        <f t="shared" si="0"/>
        <v>2.54</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2.46</v>
      </c>
      <c r="R11" s="44"/>
      <c r="S11" s="53">
        <v>45128</v>
      </c>
      <c r="T11" s="58">
        <f t="shared" si="0"/>
        <v>2.46</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2.54</v>
      </c>
      <c r="R12" s="44"/>
      <c r="S12" s="53">
        <v>45159</v>
      </c>
      <c r="T12" s="58">
        <f t="shared" si="0"/>
        <v>2.54</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2.54</v>
      </c>
      <c r="R13" s="44"/>
      <c r="S13" s="53">
        <v>45190</v>
      </c>
      <c r="T13" s="58">
        <f t="shared" si="0"/>
        <v>2.54</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2.46</v>
      </c>
      <c r="R14" s="44"/>
      <c r="S14" s="53">
        <v>45220</v>
      </c>
      <c r="T14" s="58">
        <f t="shared" si="0"/>
        <v>2.46</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2.54</v>
      </c>
      <c r="R15" s="44"/>
      <c r="S15" s="53">
        <v>45251</v>
      </c>
      <c r="T15" s="58">
        <f t="shared" si="0"/>
        <v>2.54</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45275</v>
      </c>
      <c r="Q16" s="58">
        <v>1.88</v>
      </c>
      <c r="R16" s="44"/>
      <c r="S16" s="53">
        <f>P16</f>
        <v>45275</v>
      </c>
      <c r="T16" s="58">
        <f t="shared" si="0"/>
        <v>1.97</v>
      </c>
      <c r="U16" s="58">
        <f t="shared" si="1"/>
        <v>0.09</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广电计量检测(成都)有限公司</v>
      </c>
      <c r="C27" s="43" t="str">
        <f t="shared" ref="C27:G27" si="2">C4</f>
        <v>武侯区市场监督管理局</v>
      </c>
      <c r="D27" s="43" t="str">
        <f t="shared" si="2"/>
        <v>91510107331994468H</v>
      </c>
      <c r="E27" s="43" t="str">
        <f t="shared" si="2"/>
        <v>有限责任公司</v>
      </c>
      <c r="F27" s="43" t="str">
        <f t="shared" si="2"/>
        <v>国家税务总局成都市武侯区税务局机投桥税务所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广电计量检测(成都)有限公司</v>
      </c>
      <c r="C49" s="43" t="str">
        <f t="shared" ref="C49:G49" si="3">C27</f>
        <v>武侯区市场监督管理局</v>
      </c>
      <c r="D49" s="43" t="str">
        <f t="shared" si="3"/>
        <v>91510107331994468H</v>
      </c>
      <c r="E49" s="43" t="str">
        <f t="shared" si="3"/>
        <v>有限责任公司</v>
      </c>
      <c r="F49" s="43" t="str">
        <f t="shared" si="3"/>
        <v>国家税务总局成都市武侯区税务局机投桥税务所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广电计量检测(成都)有限公司</v>
      </c>
      <c r="C71" s="43" t="str">
        <f t="shared" ref="C71:G71" si="4">C49</f>
        <v>武侯区市场监督管理局</v>
      </c>
      <c r="D71" s="43" t="str">
        <f t="shared" si="4"/>
        <v>91510107331994468H</v>
      </c>
      <c r="E71" s="43" t="str">
        <f t="shared" si="4"/>
        <v>有限责任公司</v>
      </c>
      <c r="F71" s="43" t="str">
        <f t="shared" si="4"/>
        <v>国家税务总局成都市武侯区税务局机投桥税务所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广电计量检测(成都)有限公司</v>
      </c>
      <c r="C93" s="43" t="str">
        <f t="shared" ref="C93:G93" si="5">C71</f>
        <v>武侯区市场监督管理局</v>
      </c>
      <c r="D93" s="43" t="str">
        <f t="shared" si="5"/>
        <v>91510107331994468H</v>
      </c>
      <c r="E93" s="43" t="str">
        <f t="shared" si="5"/>
        <v>有限责任公司</v>
      </c>
      <c r="F93" s="43" t="str">
        <f t="shared" si="5"/>
        <v>国家税务总局成都市武侯区税务局机投桥税务所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14.79</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成都格理特电子技术有限公司审计明细表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610</v>
      </c>
      <c r="C4" s="43" t="s">
        <v>1390</v>
      </c>
      <c r="D4" s="43" t="s">
        <v>1391</v>
      </c>
      <c r="E4" s="43" t="s">
        <v>146</v>
      </c>
      <c r="F4" s="43" t="s">
        <v>1392</v>
      </c>
      <c r="G4" s="43" t="s">
        <v>1229</v>
      </c>
      <c r="H4" s="43" t="s">
        <v>71</v>
      </c>
      <c r="I4" s="43" t="s">
        <v>1393</v>
      </c>
      <c r="J4" s="43" t="s">
        <v>73</v>
      </c>
      <c r="K4" s="43">
        <v>1000</v>
      </c>
      <c r="L4" s="43" t="s">
        <v>1394</v>
      </c>
      <c r="M4" s="49" t="s">
        <v>1395</v>
      </c>
      <c r="N4" s="65">
        <v>45102</v>
      </c>
      <c r="O4" s="65">
        <v>45291</v>
      </c>
      <c r="P4" s="43">
        <f>P12-N4</f>
        <v>241</v>
      </c>
      <c r="Q4" s="55">
        <f>SUM(Q5:Q26)</f>
        <v>26.76</v>
      </c>
      <c r="R4" s="55">
        <v>15</v>
      </c>
      <c r="S4" s="43"/>
      <c r="T4" s="55">
        <f>SUM(T5:T26)</f>
        <v>26.75</v>
      </c>
      <c r="U4" s="56">
        <v>0.04</v>
      </c>
      <c r="V4" s="50"/>
      <c r="W4" s="43" t="s">
        <v>42</v>
      </c>
      <c r="X4" s="57">
        <v>1.4999999999999999E-2</v>
      </c>
      <c r="Y4" s="43">
        <f>ROUNDDOWN(IF((O4-N4+1)*K4*X4/365&gt;R4,R4,(O4-N4+1)*K4*X4/365),2)</f>
        <v>7.8</v>
      </c>
      <c r="Z4" s="55">
        <f>R4-Y4</f>
        <v>7.2</v>
      </c>
      <c r="AA4" s="55" t="s">
        <v>1294</v>
      </c>
      <c r="AB4" s="43" t="s">
        <v>61</v>
      </c>
    </row>
    <row r="5" spans="1:29" s="35" customFormat="1">
      <c r="A5" s="44"/>
      <c r="B5" s="44"/>
      <c r="C5" s="44"/>
      <c r="D5" s="44"/>
      <c r="E5" s="44"/>
      <c r="F5" s="44"/>
      <c r="G5" s="44"/>
      <c r="H5" s="44"/>
      <c r="I5" s="44"/>
      <c r="J5" s="44"/>
      <c r="K5" s="44"/>
      <c r="L5" s="44"/>
      <c r="M5" s="63"/>
      <c r="N5" s="52"/>
      <c r="O5" s="52">
        <v>45458</v>
      </c>
      <c r="P5" s="53">
        <v>45128</v>
      </c>
      <c r="Q5" s="58">
        <v>2.89</v>
      </c>
      <c r="R5" s="44"/>
      <c r="S5" s="53">
        <v>45128</v>
      </c>
      <c r="T5" s="58">
        <f>(S5-N4)/360*$U$4*$K$4</f>
        <v>2.89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45159</v>
      </c>
      <c r="Q6" s="58">
        <v>3.44</v>
      </c>
      <c r="R6" s="44"/>
      <c r="S6" s="53">
        <v>45159</v>
      </c>
      <c r="T6" s="58">
        <f>(S6-S5)/360*$U$4*$K$4</f>
        <v>3.44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45190</v>
      </c>
      <c r="Q7" s="58">
        <v>3.44</v>
      </c>
      <c r="R7" s="44"/>
      <c r="S7" s="53">
        <v>45190</v>
      </c>
      <c r="T7" s="58">
        <f>(S7-S6)*$K$4*$U$4/360</f>
        <v>3.44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45220</v>
      </c>
      <c r="Q8" s="58">
        <v>3.34</v>
      </c>
      <c r="R8" s="44"/>
      <c r="S8" s="53">
        <v>45220</v>
      </c>
      <c r="T8" s="58">
        <f t="shared" ref="T8:T12" si="0">(S8-S7)*$K$4*$U$4/360</f>
        <v>3.33</v>
      </c>
      <c r="U8" s="58">
        <f t="shared" ref="U8:U12" si="1">T8-Q8</f>
        <v>-0.01</v>
      </c>
      <c r="V8" s="44"/>
      <c r="W8" s="44"/>
      <c r="X8" s="44"/>
      <c r="Y8" s="44"/>
      <c r="Z8" s="44"/>
      <c r="AA8" s="44"/>
      <c r="AB8" s="44"/>
    </row>
    <row r="9" spans="1:29" s="35" customFormat="1">
      <c r="A9" s="44"/>
      <c r="B9" s="44"/>
      <c r="C9" s="44"/>
      <c r="D9" s="44"/>
      <c r="E9" s="44"/>
      <c r="F9" s="44"/>
      <c r="G9" s="44"/>
      <c r="H9" s="44"/>
      <c r="I9" s="44"/>
      <c r="J9" s="44"/>
      <c r="K9" s="44"/>
      <c r="L9" s="44"/>
      <c r="M9" s="44"/>
      <c r="N9" s="52"/>
      <c r="O9" s="52"/>
      <c r="P9" s="53">
        <v>45251</v>
      </c>
      <c r="Q9" s="58">
        <v>3.44</v>
      </c>
      <c r="R9" s="44"/>
      <c r="S9" s="53">
        <v>45251</v>
      </c>
      <c r="T9" s="58">
        <f t="shared" si="0"/>
        <v>3.44</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45281</v>
      </c>
      <c r="Q10" s="58">
        <v>3.33</v>
      </c>
      <c r="R10" s="44"/>
      <c r="S10" s="53">
        <v>45281</v>
      </c>
      <c r="T10" s="58">
        <f t="shared" si="0"/>
        <v>3.33</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45312</v>
      </c>
      <c r="Q11" s="58">
        <v>3.44</v>
      </c>
      <c r="R11" s="44"/>
      <c r="S11" s="53">
        <v>45312</v>
      </c>
      <c r="T11" s="58">
        <f t="shared" si="0"/>
        <v>3.44</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45343</v>
      </c>
      <c r="Q12" s="58">
        <v>3.44</v>
      </c>
      <c r="R12" s="44"/>
      <c r="S12" s="53">
        <v>45343</v>
      </c>
      <c r="T12" s="58">
        <f t="shared" si="0"/>
        <v>3.44</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成都格理特电子技术有限公司</v>
      </c>
      <c r="C27" s="43" t="str">
        <f t="shared" ref="C27:G27" si="2">C4</f>
        <v>成都市工商行政管理部门</v>
      </c>
      <c r="D27" s="43" t="str">
        <f t="shared" si="2"/>
        <v>915101077464493817</v>
      </c>
      <c r="E27" s="43" t="str">
        <f t="shared" si="2"/>
        <v>有限责任公司</v>
      </c>
      <c r="F27" s="43" t="str">
        <f t="shared" si="2"/>
        <v>国家税务总局成都市税务局第二税务分局纳税服务一科</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成都格理特电子技术有限公司</v>
      </c>
      <c r="C49" s="43" t="str">
        <f t="shared" ref="C49:G49" si="3">C27</f>
        <v>成都市工商行政管理部门</v>
      </c>
      <c r="D49" s="43" t="str">
        <f t="shared" si="3"/>
        <v>915101077464493817</v>
      </c>
      <c r="E49" s="43" t="str">
        <f t="shared" si="3"/>
        <v>有限责任公司</v>
      </c>
      <c r="F49" s="43" t="str">
        <f t="shared" si="3"/>
        <v>国家税务总局成都市税务局第二税务分局纳税服务一科</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成都格理特电子技术有限公司</v>
      </c>
      <c r="C71" s="43" t="str">
        <f t="shared" ref="C71:G71" si="4">C49</f>
        <v>成都市工商行政管理部门</v>
      </c>
      <c r="D71" s="43" t="str">
        <f t="shared" si="4"/>
        <v>915101077464493817</v>
      </c>
      <c r="E71" s="43" t="str">
        <f t="shared" si="4"/>
        <v>有限责任公司</v>
      </c>
      <c r="F71" s="43" t="str">
        <f t="shared" si="4"/>
        <v>国家税务总局成都市税务局第二税务分局纳税服务一科</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成都格理特电子技术有限公司</v>
      </c>
      <c r="C93" s="43" t="str">
        <f t="shared" ref="C93:G93" si="5">C71</f>
        <v>成都市工商行政管理部门</v>
      </c>
      <c r="D93" s="43" t="str">
        <f t="shared" si="5"/>
        <v>915101077464493817</v>
      </c>
      <c r="E93" s="43" t="str">
        <f t="shared" si="5"/>
        <v>有限责任公司</v>
      </c>
      <c r="F93" s="43" t="str">
        <f t="shared" si="5"/>
        <v>国家税务总局成都市税务局第二税务分局纳税服务一科</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7.8</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AC117"/>
  <sheetViews>
    <sheetView topLeftCell="E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四川远丰森泰能源集团有限公司审计明细表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731</v>
      </c>
      <c r="C4" s="43" t="s">
        <v>52</v>
      </c>
      <c r="D4" s="43" t="s">
        <v>1396</v>
      </c>
      <c r="E4" s="43" t="s">
        <v>1397</v>
      </c>
      <c r="F4" s="43" t="s">
        <v>1398</v>
      </c>
      <c r="G4" s="43" t="s">
        <v>1229</v>
      </c>
      <c r="H4" s="43" t="s">
        <v>71</v>
      </c>
      <c r="I4" s="43" t="s">
        <v>248</v>
      </c>
      <c r="J4" s="43" t="s">
        <v>73</v>
      </c>
      <c r="K4" s="43">
        <v>1000</v>
      </c>
      <c r="L4" s="43" t="s">
        <v>1399</v>
      </c>
      <c r="M4" s="49" t="s">
        <v>1400</v>
      </c>
      <c r="N4" s="65">
        <v>45015</v>
      </c>
      <c r="O4" s="65">
        <v>45291</v>
      </c>
      <c r="P4" s="43">
        <f>P14-N4</f>
        <v>297</v>
      </c>
      <c r="Q4" s="55">
        <f>SUM(Q5:Q26)</f>
        <v>30.09</v>
      </c>
      <c r="R4" s="55">
        <v>11.25</v>
      </c>
      <c r="S4" s="43"/>
      <c r="T4" s="55">
        <f>SUM(T5:T26)</f>
        <v>30.09</v>
      </c>
      <c r="U4" s="56">
        <v>3.6499999999999998E-2</v>
      </c>
      <c r="V4" s="50"/>
      <c r="W4" s="43" t="s">
        <v>42</v>
      </c>
      <c r="X4" s="57">
        <v>1.4999999999999999E-2</v>
      </c>
      <c r="Y4" s="43">
        <f>ROUNDDOWN(IF((O4-N4+1)*K4*X4/365&gt;R4,R4,(O4-N4+1)*K4*X4/365),2)</f>
        <v>11.25</v>
      </c>
      <c r="Z4" s="55">
        <f>R4-Y4</f>
        <v>0</v>
      </c>
      <c r="AA4" s="55"/>
      <c r="AB4" s="43" t="s">
        <v>61</v>
      </c>
    </row>
    <row r="5" spans="1:29" s="35" customFormat="1">
      <c r="A5" s="44"/>
      <c r="B5" s="44"/>
      <c r="C5" s="44"/>
      <c r="D5" s="44"/>
      <c r="E5" s="44"/>
      <c r="F5" s="44"/>
      <c r="G5" s="44"/>
      <c r="H5" s="44"/>
      <c r="I5" s="44"/>
      <c r="J5" s="44"/>
      <c r="K5" s="44"/>
      <c r="L5" s="44"/>
      <c r="M5" s="63"/>
      <c r="N5" s="52"/>
      <c r="O5" s="52">
        <v>45380</v>
      </c>
      <c r="P5" s="53">
        <v>45037</v>
      </c>
      <c r="Q5" s="58">
        <v>2.23</v>
      </c>
      <c r="R5" s="44"/>
      <c r="S5" s="53">
        <v>45037</v>
      </c>
      <c r="T5" s="58">
        <f>(S5-N4)/360*$U$4*$K$4</f>
        <v>2.23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45067</v>
      </c>
      <c r="Q6" s="58">
        <v>3.04</v>
      </c>
      <c r="R6" s="44"/>
      <c r="S6" s="53">
        <v>45067</v>
      </c>
      <c r="T6" s="58">
        <f>(S6-S5)/360*$U$4*$K$4</f>
        <v>3.04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45098</v>
      </c>
      <c r="Q7" s="58">
        <v>3.14</v>
      </c>
      <c r="R7" s="44"/>
      <c r="S7" s="53">
        <v>45098</v>
      </c>
      <c r="T7" s="58">
        <f>(S7-S6)*$K$4*$U$4/360</f>
        <v>3.14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45128</v>
      </c>
      <c r="Q8" s="58">
        <v>3.04</v>
      </c>
      <c r="R8" s="44"/>
      <c r="S8" s="53">
        <v>45128</v>
      </c>
      <c r="T8" s="58">
        <f t="shared" ref="T8:T14" si="0">(S8-S7)*$K$4*$U$4/360</f>
        <v>3.04</v>
      </c>
      <c r="U8" s="58">
        <f t="shared" ref="U8:U14"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45159</v>
      </c>
      <c r="Q9" s="58">
        <v>3.14</v>
      </c>
      <c r="R9" s="44"/>
      <c r="S9" s="53">
        <v>45159</v>
      </c>
      <c r="T9" s="58">
        <f t="shared" si="0"/>
        <v>3.14</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45190</v>
      </c>
      <c r="Q10" s="58">
        <v>3.14</v>
      </c>
      <c r="R10" s="44"/>
      <c r="S10" s="53">
        <v>45190</v>
      </c>
      <c r="T10" s="58">
        <f t="shared" si="0"/>
        <v>3.14</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45220</v>
      </c>
      <c r="Q11" s="58">
        <v>3.04</v>
      </c>
      <c r="R11" s="44"/>
      <c r="S11" s="53">
        <v>45220</v>
      </c>
      <c r="T11" s="58">
        <f t="shared" si="0"/>
        <v>3.04</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45251</v>
      </c>
      <c r="Q12" s="58">
        <v>3.14</v>
      </c>
      <c r="R12" s="44"/>
      <c r="S12" s="53">
        <v>45251</v>
      </c>
      <c r="T12" s="58">
        <f t="shared" si="0"/>
        <v>3.14</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45281</v>
      </c>
      <c r="Q13" s="58">
        <v>3.04</v>
      </c>
      <c r="R13" s="44"/>
      <c r="S13" s="53">
        <v>45281</v>
      </c>
      <c r="T13" s="58">
        <f t="shared" si="0"/>
        <v>3.04</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45312</v>
      </c>
      <c r="Q14" s="58">
        <v>3.14</v>
      </c>
      <c r="R14" s="44"/>
      <c r="S14" s="53">
        <v>45312</v>
      </c>
      <c r="T14" s="58">
        <f t="shared" si="0"/>
        <v>3.14</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四川远丰森泰能源集团有限公司</v>
      </c>
      <c r="C27" s="43" t="str">
        <f t="shared" ref="C27:G27" si="2">C4</f>
        <v>成都市市场监督管理局</v>
      </c>
      <c r="D27" s="43" t="str">
        <f t="shared" si="2"/>
        <v>915100007958376047</v>
      </c>
      <c r="E27" s="43" t="str">
        <f t="shared" si="2"/>
        <v>外商投资企业法人独资</v>
      </c>
      <c r="F27" s="43" t="str">
        <f t="shared" si="2"/>
        <v>成都市武侯区国家税务局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四川远丰森泰能源集团有限公司</v>
      </c>
      <c r="C49" s="43" t="str">
        <f t="shared" ref="C49:G49" si="3">C27</f>
        <v>成都市市场监督管理局</v>
      </c>
      <c r="D49" s="43" t="str">
        <f t="shared" si="3"/>
        <v>915100007958376047</v>
      </c>
      <c r="E49" s="43" t="str">
        <f t="shared" si="3"/>
        <v>外商投资企业法人独资</v>
      </c>
      <c r="F49" s="43" t="str">
        <f t="shared" si="3"/>
        <v>成都市武侯区国家税务局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四川远丰森泰能源集团有限公司</v>
      </c>
      <c r="C71" s="43" t="str">
        <f t="shared" ref="C71:G71" si="4">C49</f>
        <v>成都市市场监督管理局</v>
      </c>
      <c r="D71" s="43" t="str">
        <f t="shared" si="4"/>
        <v>915100007958376047</v>
      </c>
      <c r="E71" s="43" t="str">
        <f t="shared" si="4"/>
        <v>外商投资企业法人独资</v>
      </c>
      <c r="F71" s="43" t="str">
        <f t="shared" si="4"/>
        <v>成都市武侯区国家税务局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四川远丰森泰能源集团有限公司</v>
      </c>
      <c r="C93" s="43" t="str">
        <f t="shared" ref="C93:G93" si="5">C71</f>
        <v>成都市市场监督管理局</v>
      </c>
      <c r="D93" s="43" t="str">
        <f t="shared" si="5"/>
        <v>915100007958376047</v>
      </c>
      <c r="E93" s="43" t="str">
        <f t="shared" si="5"/>
        <v>外商投资企业法人独资</v>
      </c>
      <c r="F93" s="43" t="str">
        <f t="shared" si="5"/>
        <v>成都市武侯区国家税务局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11.25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AC117"/>
  <sheetViews>
    <sheetView topLeftCell="O1"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四川三元环境治理股份有限公司审计明细表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717</v>
      </c>
      <c r="C4" s="43" t="s">
        <v>52</v>
      </c>
      <c r="D4" s="43" t="s">
        <v>1401</v>
      </c>
      <c r="E4" s="43" t="s">
        <v>226</v>
      </c>
      <c r="F4" s="43" t="s">
        <v>1402</v>
      </c>
      <c r="G4" s="43" t="s">
        <v>1229</v>
      </c>
      <c r="H4" s="43" t="s">
        <v>71</v>
      </c>
      <c r="I4" s="43" t="s">
        <v>1403</v>
      </c>
      <c r="J4" s="43" t="s">
        <v>73</v>
      </c>
      <c r="K4" s="43">
        <v>500</v>
      </c>
      <c r="L4" s="43" t="s">
        <v>1404</v>
      </c>
      <c r="M4" s="49" t="s">
        <v>1405</v>
      </c>
      <c r="N4" s="65">
        <v>44924</v>
      </c>
      <c r="O4" s="65">
        <v>45286</v>
      </c>
      <c r="P4" s="43">
        <f>P17-N4</f>
        <v>362</v>
      </c>
      <c r="Q4" s="55">
        <f>SUM(Q5:Q26)</f>
        <v>17.62</v>
      </c>
      <c r="R4" s="55">
        <v>7.5</v>
      </c>
      <c r="S4" s="43"/>
      <c r="T4" s="55">
        <f>SUM(T5:T26)</f>
        <v>17.62</v>
      </c>
      <c r="U4" s="56">
        <v>3.5000000000000003E-2</v>
      </c>
      <c r="V4" s="50"/>
      <c r="W4" s="43" t="s">
        <v>1406</v>
      </c>
      <c r="X4" s="57">
        <v>1.4999999999999999E-2</v>
      </c>
      <c r="Y4" s="43">
        <f>ROUNDDOWN(IF((O4-N4+1)*K4*X4/365&gt;R4,R4,(O4-N4+1)*K4*X4/365),2)</f>
        <v>7.45</v>
      </c>
      <c r="Z4" s="55">
        <f>R4-Y4</f>
        <v>0.05</v>
      </c>
      <c r="AA4" s="55" t="s">
        <v>108</v>
      </c>
      <c r="AB4" s="43" t="s">
        <v>61</v>
      </c>
    </row>
    <row r="5" spans="1:29" s="35" customFormat="1">
      <c r="A5" s="44"/>
      <c r="B5" s="44"/>
      <c r="C5" s="44"/>
      <c r="D5" s="44"/>
      <c r="E5" s="44"/>
      <c r="F5" s="44"/>
      <c r="G5" s="44"/>
      <c r="H5" s="44"/>
      <c r="I5" s="44"/>
      <c r="J5" s="44"/>
      <c r="K5" s="44"/>
      <c r="L5" s="44"/>
      <c r="M5" s="63"/>
      <c r="N5" s="52"/>
      <c r="O5" s="52"/>
      <c r="P5" s="53">
        <v>44946</v>
      </c>
      <c r="Q5" s="58">
        <v>1.07</v>
      </c>
      <c r="R5" s="44"/>
      <c r="S5" s="53">
        <v>44946</v>
      </c>
      <c r="T5" s="58">
        <f>(S5-N4)/360*$U$4*$K$4</f>
        <v>1.07</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1.51</v>
      </c>
      <c r="R6" s="44"/>
      <c r="S6" s="53">
        <v>44977</v>
      </c>
      <c r="T6" s="58">
        <f>(S6-S5)/360*$U$4*$K$4</f>
        <v>1.51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45005</v>
      </c>
      <c r="Q7" s="58">
        <v>1.36</v>
      </c>
      <c r="R7" s="44"/>
      <c r="S7" s="53">
        <v>45005</v>
      </c>
      <c r="T7" s="58">
        <f>(S7-S6)*$K$4*$U$4/360</f>
        <v>1.36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1.51</v>
      </c>
      <c r="R8" s="44"/>
      <c r="S8" s="53">
        <v>45036</v>
      </c>
      <c r="T8" s="58">
        <f t="shared" ref="T8:T17" si="0">(S8-S7)*$K$4*$U$4/360</f>
        <v>1.51</v>
      </c>
      <c r="U8" s="58">
        <f t="shared" ref="U8:U17"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1.46</v>
      </c>
      <c r="R9" s="44"/>
      <c r="S9" s="53">
        <v>45066</v>
      </c>
      <c r="T9" s="58">
        <f t="shared" si="0"/>
        <v>1.46</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1.51</v>
      </c>
      <c r="R10" s="44"/>
      <c r="S10" s="53">
        <v>45097</v>
      </c>
      <c r="T10" s="58">
        <f t="shared" si="0"/>
        <v>1.51</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1.46</v>
      </c>
      <c r="R11" s="44"/>
      <c r="S11" s="53">
        <v>45127</v>
      </c>
      <c r="T11" s="58">
        <f t="shared" si="0"/>
        <v>1.46</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1.51</v>
      </c>
      <c r="R12" s="44"/>
      <c r="S12" s="53">
        <v>45158</v>
      </c>
      <c r="T12" s="58">
        <f t="shared" si="0"/>
        <v>1.51</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1.51</v>
      </c>
      <c r="R13" s="44"/>
      <c r="S13" s="53">
        <v>45189</v>
      </c>
      <c r="T13" s="58">
        <f t="shared" si="0"/>
        <v>1.51</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1.46</v>
      </c>
      <c r="R14" s="44"/>
      <c r="S14" s="53">
        <v>45219</v>
      </c>
      <c r="T14" s="58">
        <f t="shared" si="0"/>
        <v>1.46</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1.51</v>
      </c>
      <c r="R15" s="44"/>
      <c r="S15" s="53">
        <v>45250</v>
      </c>
      <c r="T15" s="58">
        <f t="shared" si="0"/>
        <v>1.51</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45280</v>
      </c>
      <c r="Q16" s="58">
        <v>1.46</v>
      </c>
      <c r="R16" s="44"/>
      <c r="S16" s="53">
        <v>45280</v>
      </c>
      <c r="T16" s="58">
        <f t="shared" si="0"/>
        <v>1.46</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45286</v>
      </c>
      <c r="Q17" s="58">
        <v>0.28999999999999998</v>
      </c>
      <c r="R17" s="44"/>
      <c r="S17" s="53">
        <v>45286</v>
      </c>
      <c r="T17" s="58">
        <f t="shared" si="0"/>
        <v>0.28999999999999998</v>
      </c>
      <c r="U17" s="58">
        <f t="shared" si="1"/>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四川三元环境治理股份有限公司</v>
      </c>
      <c r="C27" s="43" t="str">
        <f t="shared" ref="C27:G27" si="2">C4</f>
        <v>成都市市场监督管理局</v>
      </c>
      <c r="D27" s="43" t="str">
        <f t="shared" si="2"/>
        <v>91510000793961046H</v>
      </c>
      <c r="E27" s="43" t="str">
        <f t="shared" si="2"/>
        <v>私营</v>
      </c>
      <c r="F27" s="43" t="str">
        <f t="shared" si="2"/>
        <v>国家税务总局成都市武侯区税务局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四川三元环境治理股份有限公司</v>
      </c>
      <c r="C49" s="43" t="str">
        <f t="shared" ref="C49:G49" si="3">C27</f>
        <v>成都市市场监督管理局</v>
      </c>
      <c r="D49" s="43" t="str">
        <f t="shared" si="3"/>
        <v>91510000793961046H</v>
      </c>
      <c r="E49" s="43" t="str">
        <f t="shared" si="3"/>
        <v>私营</v>
      </c>
      <c r="F49" s="43" t="str">
        <f t="shared" si="3"/>
        <v>国家税务总局成都市武侯区税务局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四川三元环境治理股份有限公司</v>
      </c>
      <c r="C71" s="43" t="str">
        <f t="shared" ref="C71:G71" si="4">C49</f>
        <v>成都市市场监督管理局</v>
      </c>
      <c r="D71" s="43" t="str">
        <f t="shared" si="4"/>
        <v>91510000793961046H</v>
      </c>
      <c r="E71" s="43" t="str">
        <f t="shared" si="4"/>
        <v>私营</v>
      </c>
      <c r="F71" s="43" t="str">
        <f t="shared" si="4"/>
        <v>国家税务总局成都市武侯区税务局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四川三元环境治理股份有限公司</v>
      </c>
      <c r="C93" s="43" t="str">
        <f t="shared" ref="C93:G93" si="5">C71</f>
        <v>成都市市场监督管理局</v>
      </c>
      <c r="D93" s="43" t="str">
        <f t="shared" si="5"/>
        <v>91510000793961046H</v>
      </c>
      <c r="E93" s="43" t="str">
        <f t="shared" si="5"/>
        <v>私营</v>
      </c>
      <c r="F93" s="43" t="str">
        <f t="shared" si="5"/>
        <v>国家税务总局成都市武侯区税务局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7.45</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成都点阵科技有限公司审计明细表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606</v>
      </c>
      <c r="C4" s="43" t="s">
        <v>1375</v>
      </c>
      <c r="D4" s="43" t="s">
        <v>1407</v>
      </c>
      <c r="E4" s="43" t="s">
        <v>1408</v>
      </c>
      <c r="F4" s="43" t="s">
        <v>1402</v>
      </c>
      <c r="G4" s="43" t="s">
        <v>1229</v>
      </c>
      <c r="H4" s="43" t="s">
        <v>71</v>
      </c>
      <c r="I4" s="43" t="s">
        <v>1403</v>
      </c>
      <c r="J4" s="43" t="s">
        <v>73</v>
      </c>
      <c r="K4" s="43">
        <v>500</v>
      </c>
      <c r="L4" s="43" t="s">
        <v>1409</v>
      </c>
      <c r="M4" s="49" t="s">
        <v>1410</v>
      </c>
      <c r="N4" s="65">
        <v>44970</v>
      </c>
      <c r="O4" s="65">
        <v>45291</v>
      </c>
      <c r="P4" s="43">
        <f>P17-N4</f>
        <v>357</v>
      </c>
      <c r="Q4" s="55">
        <f>SUM(Q5:Q26)</f>
        <v>18.11</v>
      </c>
      <c r="R4" s="55">
        <v>7.5</v>
      </c>
      <c r="S4" s="43"/>
      <c r="T4" s="55">
        <f>SUM(T5:T26)</f>
        <v>18.32</v>
      </c>
      <c r="U4" s="56">
        <v>3.6999999999999998E-2</v>
      </c>
      <c r="V4" s="50"/>
      <c r="W4" s="43" t="s">
        <v>42</v>
      </c>
      <c r="X4" s="57">
        <v>1.4999999999999999E-2</v>
      </c>
      <c r="Y4" s="43">
        <f>ROUNDDOWN(IF((O4-N4+1)*K4*X4/365&gt;R4,R4,(O4-N4+1)*K4*X4/365),2)</f>
        <v>6.61</v>
      </c>
      <c r="Z4" s="55">
        <f>R4-Y4</f>
        <v>0.89</v>
      </c>
      <c r="AA4" s="55" t="s">
        <v>1294</v>
      </c>
      <c r="AB4" s="43" t="s">
        <v>61</v>
      </c>
    </row>
    <row r="5" spans="1:29" s="35" customFormat="1">
      <c r="A5" s="44"/>
      <c r="B5" s="44"/>
      <c r="C5" s="44"/>
      <c r="D5" s="44"/>
      <c r="E5" s="44"/>
      <c r="F5" s="44"/>
      <c r="G5" s="44"/>
      <c r="H5" s="44"/>
      <c r="I5" s="44"/>
      <c r="J5" s="44"/>
      <c r="K5" s="44"/>
      <c r="L5" s="44"/>
      <c r="M5" s="63" t="s">
        <v>1411</v>
      </c>
      <c r="N5" s="52"/>
      <c r="O5" s="52">
        <v>45334</v>
      </c>
      <c r="P5" s="53">
        <v>44978</v>
      </c>
      <c r="Q5" s="58">
        <v>0.15</v>
      </c>
      <c r="R5" s="44"/>
      <c r="S5" s="53">
        <v>44978</v>
      </c>
      <c r="T5" s="58">
        <f>(S5-N4)/360*$U$4*$K$4</f>
        <v>0.41</v>
      </c>
      <c r="U5" s="58">
        <f>T5-Q5</f>
        <v>0.26</v>
      </c>
      <c r="V5" s="52"/>
      <c r="W5" s="44"/>
      <c r="X5" s="44"/>
      <c r="Y5" s="44"/>
      <c r="Z5" s="44"/>
      <c r="AA5" s="44"/>
      <c r="AB5" s="44"/>
    </row>
    <row r="6" spans="1:29" s="35" customFormat="1">
      <c r="A6" s="44"/>
      <c r="B6" s="44"/>
      <c r="C6" s="44"/>
      <c r="D6" s="44"/>
      <c r="E6" s="44"/>
      <c r="F6" s="44"/>
      <c r="G6" s="44"/>
      <c r="H6" s="44"/>
      <c r="I6" s="44"/>
      <c r="J6" s="44"/>
      <c r="K6" s="44"/>
      <c r="L6" s="44"/>
      <c r="M6" s="63"/>
      <c r="N6" s="52"/>
      <c r="O6" s="53"/>
      <c r="P6" s="53">
        <v>45006</v>
      </c>
      <c r="Q6" s="58">
        <v>1.44</v>
      </c>
      <c r="R6" s="44"/>
      <c r="S6" s="53">
        <v>45006</v>
      </c>
      <c r="T6" s="58">
        <f>(S6-S5)/360*$U$4*$K$4</f>
        <v>1.44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45037</v>
      </c>
      <c r="Q7" s="58">
        <v>1.59</v>
      </c>
      <c r="R7" s="44"/>
      <c r="S7" s="53">
        <v>45037</v>
      </c>
      <c r="T7" s="58">
        <f>(S7-S6)*$K$4*$U$4/360</f>
        <v>1.59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45067</v>
      </c>
      <c r="Q8" s="58">
        <v>1.54</v>
      </c>
      <c r="R8" s="44"/>
      <c r="S8" s="53">
        <v>45067</v>
      </c>
      <c r="T8" s="58">
        <f t="shared" ref="T8:T17" si="0">(S8-S7)*$K$4*$U$4/360</f>
        <v>1.54</v>
      </c>
      <c r="U8" s="58">
        <f t="shared" ref="U8:U17"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45098</v>
      </c>
      <c r="Q9" s="58">
        <v>1.59</v>
      </c>
      <c r="R9" s="44"/>
      <c r="S9" s="53">
        <v>45098</v>
      </c>
      <c r="T9" s="58">
        <f t="shared" si="0"/>
        <v>1.59</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45128</v>
      </c>
      <c r="Q10" s="58">
        <v>1.54</v>
      </c>
      <c r="R10" s="44"/>
      <c r="S10" s="53">
        <v>45128</v>
      </c>
      <c r="T10" s="58">
        <f t="shared" si="0"/>
        <v>1.54</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45159</v>
      </c>
      <c r="Q11" s="58">
        <v>1.59</v>
      </c>
      <c r="R11" s="44"/>
      <c r="S11" s="53">
        <v>45159</v>
      </c>
      <c r="T11" s="58">
        <f t="shared" si="0"/>
        <v>1.59</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45190</v>
      </c>
      <c r="Q12" s="58">
        <v>1.59</v>
      </c>
      <c r="R12" s="44"/>
      <c r="S12" s="53">
        <v>45190</v>
      </c>
      <c r="T12" s="58">
        <f t="shared" si="0"/>
        <v>1.59</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45220</v>
      </c>
      <c r="Q13" s="58">
        <v>1.54</v>
      </c>
      <c r="R13" s="44"/>
      <c r="S13" s="53">
        <v>45220</v>
      </c>
      <c r="T13" s="58">
        <f t="shared" si="0"/>
        <v>1.54</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45251</v>
      </c>
      <c r="Q14" s="58">
        <v>1.59</v>
      </c>
      <c r="R14" s="44"/>
      <c r="S14" s="53">
        <v>45251</v>
      </c>
      <c r="T14" s="58">
        <f t="shared" si="0"/>
        <v>1.59</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45281</v>
      </c>
      <c r="Q15" s="58">
        <v>1.54</v>
      </c>
      <c r="R15" s="44"/>
      <c r="S15" s="53">
        <v>45281</v>
      </c>
      <c r="T15" s="58">
        <f t="shared" si="0"/>
        <v>1.54</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45312</v>
      </c>
      <c r="Q16" s="58">
        <v>1.59</v>
      </c>
      <c r="R16" s="44"/>
      <c r="S16" s="53">
        <v>45312</v>
      </c>
      <c r="T16" s="58">
        <f t="shared" si="0"/>
        <v>1.59</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45327</v>
      </c>
      <c r="Q17" s="58">
        <v>0.82</v>
      </c>
      <c r="R17" s="44"/>
      <c r="S17" s="53">
        <v>45327</v>
      </c>
      <c r="T17" s="58">
        <f t="shared" si="0"/>
        <v>0.77</v>
      </c>
      <c r="U17" s="58">
        <f t="shared" si="1"/>
        <v>-0.05</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成都点阵科技有限公司</v>
      </c>
      <c r="C27" s="43" t="str">
        <f t="shared" ref="C27:G27" si="2">C4</f>
        <v>成都市武侯区行政审批局</v>
      </c>
      <c r="D27" s="43" t="str">
        <f t="shared" si="2"/>
        <v>91510107797810624X</v>
      </c>
      <c r="E27" s="43" t="str">
        <f t="shared" si="2"/>
        <v>小型企业有限责任公司</v>
      </c>
      <c r="F27" s="43" t="str">
        <f t="shared" si="2"/>
        <v>国家税务总局成都市武侯区税务局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成都点阵科技有限公司</v>
      </c>
      <c r="C49" s="43" t="str">
        <f t="shared" ref="C49:G49" si="3">C27</f>
        <v>成都市武侯区行政审批局</v>
      </c>
      <c r="D49" s="43" t="str">
        <f t="shared" si="3"/>
        <v>91510107797810624X</v>
      </c>
      <c r="E49" s="43" t="str">
        <f t="shared" si="3"/>
        <v>小型企业有限责任公司</v>
      </c>
      <c r="F49" s="43" t="str">
        <f t="shared" si="3"/>
        <v>国家税务总局成都市武侯区税务局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成都点阵科技有限公司</v>
      </c>
      <c r="C71" s="43" t="str">
        <f t="shared" ref="C71:G71" si="4">C49</f>
        <v>成都市武侯区行政审批局</v>
      </c>
      <c r="D71" s="43" t="str">
        <f t="shared" si="4"/>
        <v>91510107797810624X</v>
      </c>
      <c r="E71" s="43" t="str">
        <f t="shared" si="4"/>
        <v>小型企业有限责任公司</v>
      </c>
      <c r="F71" s="43" t="str">
        <f t="shared" si="4"/>
        <v>国家税务总局成都市武侯区税务局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成都点阵科技有限公司</v>
      </c>
      <c r="C93" s="43" t="str">
        <f t="shared" ref="C93:G93" si="5">C71</f>
        <v>成都市武侯区行政审批局</v>
      </c>
      <c r="D93" s="43" t="str">
        <f t="shared" si="5"/>
        <v>91510107797810624X</v>
      </c>
      <c r="E93" s="43" t="str">
        <f t="shared" si="5"/>
        <v>小型企业有限责任公司</v>
      </c>
      <c r="F93" s="43" t="str">
        <f t="shared" si="5"/>
        <v>国家税务总局成都市武侯区税务局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6.61</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AC117"/>
  <sheetViews>
    <sheetView topLeftCell="F1" zoomScale="70" zoomScaleNormal="70"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四川汇投环保工程有限责任公司审计明细表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706</v>
      </c>
      <c r="C4" s="43" t="s">
        <v>1375</v>
      </c>
      <c r="D4" s="43" t="s">
        <v>1412</v>
      </c>
      <c r="E4" s="43" t="s">
        <v>146</v>
      </c>
      <c r="F4" s="43" t="s">
        <v>1402</v>
      </c>
      <c r="G4" s="43" t="s">
        <v>1229</v>
      </c>
      <c r="H4" s="43" t="s">
        <v>71</v>
      </c>
      <c r="I4" s="43" t="s">
        <v>70</v>
      </c>
      <c r="J4" s="43" t="s">
        <v>73</v>
      </c>
      <c r="K4" s="43">
        <v>390</v>
      </c>
      <c r="L4" s="43" t="s">
        <v>1413</v>
      </c>
      <c r="M4" s="49" t="s">
        <v>1414</v>
      </c>
      <c r="N4" s="65">
        <v>44908</v>
      </c>
      <c r="O4" s="65">
        <v>45251</v>
      </c>
      <c r="P4" s="43">
        <f>P15-N4</f>
        <v>343</v>
      </c>
      <c r="Q4" s="55">
        <f>SUM(Q5:Q26)</f>
        <v>14.39</v>
      </c>
      <c r="R4" s="55">
        <v>5.85</v>
      </c>
      <c r="S4" s="43"/>
      <c r="T4" s="55">
        <f>SUM(T5:T26)</f>
        <v>14.29</v>
      </c>
      <c r="U4" s="56">
        <v>3.85E-2</v>
      </c>
      <c r="V4" s="50"/>
      <c r="W4" s="43" t="s">
        <v>1415</v>
      </c>
      <c r="X4" s="57">
        <v>1.4999999999999999E-2</v>
      </c>
      <c r="Y4" s="43">
        <f>ROUNDDOWN(IF((O4-N4+1)*K4*X4/365&gt;R4,R4,(O4-N4+1)*K4*X4/365),2)</f>
        <v>5.51</v>
      </c>
      <c r="Z4" s="55">
        <f>R4-Y4</f>
        <v>0.34</v>
      </c>
      <c r="AA4" s="55" t="s">
        <v>108</v>
      </c>
      <c r="AB4" s="43" t="s">
        <v>61</v>
      </c>
    </row>
    <row r="5" spans="1:29" s="35" customFormat="1">
      <c r="A5" s="44"/>
      <c r="B5" s="44"/>
      <c r="C5" s="44"/>
      <c r="D5" s="44"/>
      <c r="E5" s="44"/>
      <c r="F5" s="44"/>
      <c r="G5" s="44"/>
      <c r="H5" s="44"/>
      <c r="I5" s="44"/>
      <c r="J5" s="44"/>
      <c r="K5" s="44"/>
      <c r="L5" s="44"/>
      <c r="M5" s="63"/>
      <c r="N5" s="52"/>
      <c r="O5" s="52"/>
      <c r="P5" s="53">
        <v>44947</v>
      </c>
      <c r="Q5" s="58">
        <v>1.63</v>
      </c>
      <c r="R5" s="44"/>
      <c r="S5" s="53">
        <v>44947</v>
      </c>
      <c r="T5" s="58">
        <f>(S5-N4)/360*$U$4*$K$4</f>
        <v>1.63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1.29</v>
      </c>
      <c r="R6" s="44"/>
      <c r="S6" s="53">
        <v>44978</v>
      </c>
      <c r="T6" s="58">
        <f>(S6-S5)/360*$U$4*$K$4</f>
        <v>1.29</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1.27</v>
      </c>
      <c r="R7" s="44"/>
      <c r="S7" s="53">
        <v>45006</v>
      </c>
      <c r="T7" s="58">
        <f>(S7-S6)*$K$4*$U$4/360</f>
        <v>1.17</v>
      </c>
      <c r="U7" s="58">
        <f>T7-Q7</f>
        <v>-0.1</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1.29</v>
      </c>
      <c r="R8" s="44"/>
      <c r="S8" s="53">
        <v>45037</v>
      </c>
      <c r="T8" s="58">
        <f t="shared" ref="T8:T15" si="0">(S8-S7)*$K$4*$U$4/360</f>
        <v>1.29</v>
      </c>
      <c r="U8" s="58">
        <f t="shared" ref="U8:U15"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1.25</v>
      </c>
      <c r="R9" s="44"/>
      <c r="S9" s="53">
        <v>45067</v>
      </c>
      <c r="T9" s="58">
        <f t="shared" si="0"/>
        <v>1.25</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1.29</v>
      </c>
      <c r="R10" s="44"/>
      <c r="S10" s="53">
        <v>45098</v>
      </c>
      <c r="T10" s="58">
        <f t="shared" si="0"/>
        <v>1.29</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1.25</v>
      </c>
      <c r="R11" s="44"/>
      <c r="S11" s="53">
        <v>45128</v>
      </c>
      <c r="T11" s="58">
        <f t="shared" si="0"/>
        <v>1.25</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1.29</v>
      </c>
      <c r="R12" s="44"/>
      <c r="S12" s="53">
        <v>45159</v>
      </c>
      <c r="T12" s="58">
        <f t="shared" si="0"/>
        <v>1.29</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1.29</v>
      </c>
      <c r="R13" s="44"/>
      <c r="S13" s="53">
        <v>45190</v>
      </c>
      <c r="T13" s="58">
        <f t="shared" si="0"/>
        <v>1.29</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1.25</v>
      </c>
      <c r="R14" s="44"/>
      <c r="S14" s="53">
        <v>45220</v>
      </c>
      <c r="T14" s="58">
        <f t="shared" si="0"/>
        <v>1.25</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1.29</v>
      </c>
      <c r="R15" s="44"/>
      <c r="S15" s="53">
        <v>45251</v>
      </c>
      <c r="T15" s="58">
        <f t="shared" si="0"/>
        <v>1.29</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四川汇投环保工程有限责任公司</v>
      </c>
      <c r="C27" s="43" t="str">
        <f t="shared" ref="C27:G27" si="2">C4</f>
        <v>成都市武侯区行政审批局</v>
      </c>
      <c r="D27" s="43" t="str">
        <f t="shared" si="2"/>
        <v>91510107584993463E</v>
      </c>
      <c r="E27" s="43" t="str">
        <f t="shared" si="2"/>
        <v>有限责任公司</v>
      </c>
      <c r="F27" s="43" t="str">
        <f t="shared" si="2"/>
        <v>国家税务总局成都市武侯区税务局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四川汇投环保工程有限责任公司</v>
      </c>
      <c r="C49" s="43" t="str">
        <f t="shared" ref="C49:G49" si="3">C27</f>
        <v>成都市武侯区行政审批局</v>
      </c>
      <c r="D49" s="43" t="str">
        <f t="shared" si="3"/>
        <v>91510107584993463E</v>
      </c>
      <c r="E49" s="43" t="str">
        <f t="shared" si="3"/>
        <v>有限责任公司</v>
      </c>
      <c r="F49" s="43" t="str">
        <f t="shared" si="3"/>
        <v>国家税务总局成都市武侯区税务局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四川汇投环保工程有限责任公司</v>
      </c>
      <c r="C71" s="43" t="str">
        <f t="shared" ref="C71:G71" si="4">C49</f>
        <v>成都市武侯区行政审批局</v>
      </c>
      <c r="D71" s="43" t="str">
        <f t="shared" si="4"/>
        <v>91510107584993463E</v>
      </c>
      <c r="E71" s="43" t="str">
        <f t="shared" si="4"/>
        <v>有限责任公司</v>
      </c>
      <c r="F71" s="43" t="str">
        <f t="shared" si="4"/>
        <v>国家税务总局成都市武侯区税务局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四川汇投环保工程有限责任公司</v>
      </c>
      <c r="C93" s="43" t="str">
        <f t="shared" ref="C93:G93" si="5">C71</f>
        <v>成都市武侯区行政审批局</v>
      </c>
      <c r="D93" s="43" t="str">
        <f t="shared" si="5"/>
        <v>91510107584993463E</v>
      </c>
      <c r="E93" s="43" t="str">
        <f t="shared" si="5"/>
        <v>有限责任公司</v>
      </c>
      <c r="F93" s="43" t="str">
        <f t="shared" si="5"/>
        <v>国家税务总局成都市武侯区税务局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390</v>
      </c>
      <c r="L115" s="43"/>
      <c r="M115" s="43"/>
      <c r="N115" s="50"/>
      <c r="O115" s="50"/>
      <c r="P115" s="43"/>
      <c r="Q115" s="43"/>
      <c r="R115" s="43"/>
      <c r="S115" s="43"/>
      <c r="T115" s="43"/>
      <c r="U115" s="43"/>
      <c r="V115" s="43"/>
      <c r="W115" s="43"/>
      <c r="X115" s="43"/>
      <c r="Y115" s="43">
        <f>Y93+Y71+Y49+Y27++Y4</f>
        <v>5.51</v>
      </c>
      <c r="Z115" s="43"/>
      <c r="AA115" s="43"/>
      <c r="AB115" s="43"/>
    </row>
    <row r="116" spans="1:28">
      <c r="I116" s="36" t="s">
        <v>49</v>
      </c>
      <c r="K116" s="36">
        <f>IF(K115&gt;3000,K117,K115)</f>
        <v>390</v>
      </c>
    </row>
    <row r="117" spans="1:28" hidden="1">
      <c r="K117" s="36">
        <f>IF(K116&gt;3000,K118,K116)</f>
        <v>390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C117"/>
  <sheetViews>
    <sheetView zoomScale="90" zoomScaleNormal="90" workbookViewId="0">
      <pane ySplit="3" topLeftCell="A4" activePane="bottomLeft" state="frozen"/>
      <selection pane="bottomLeft" activeCell="D4" sqref="D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成都傅立叶电子科技有限公司审计明细表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609</v>
      </c>
      <c r="C4" s="43" t="s">
        <v>1375</v>
      </c>
      <c r="D4" s="152" t="s">
        <v>1416</v>
      </c>
      <c r="E4" s="43" t="s">
        <v>446</v>
      </c>
      <c r="F4" s="43" t="s">
        <v>1417</v>
      </c>
      <c r="G4" s="43" t="s">
        <v>1229</v>
      </c>
      <c r="H4" s="43" t="s">
        <v>71</v>
      </c>
      <c r="I4" s="43" t="s">
        <v>248</v>
      </c>
      <c r="J4" s="43" t="s">
        <v>73</v>
      </c>
      <c r="K4" s="43">
        <v>500</v>
      </c>
      <c r="L4" s="43" t="s">
        <v>1418</v>
      </c>
      <c r="M4" s="49" t="s">
        <v>1419</v>
      </c>
      <c r="N4" s="65">
        <v>45102</v>
      </c>
      <c r="O4" s="65">
        <v>45291</v>
      </c>
      <c r="P4" s="43">
        <f>P11-N4</f>
        <v>210</v>
      </c>
      <c r="Q4" s="55">
        <f>SUM(Q5:Q26)</f>
        <v>10.78</v>
      </c>
      <c r="R4" s="55">
        <v>4.1100000000000003</v>
      </c>
      <c r="S4" s="43"/>
      <c r="T4" s="55">
        <f>SUM(T5:T26)</f>
        <v>10.78</v>
      </c>
      <c r="U4" s="56">
        <v>3.6999999999999998E-2</v>
      </c>
      <c r="V4" s="50"/>
      <c r="W4" s="43" t="s">
        <v>42</v>
      </c>
      <c r="X4" s="57">
        <v>1.4999999999999999E-2</v>
      </c>
      <c r="Y4" s="43">
        <f>ROUNDDOWN(IF((O4-N4+1)*K4*X4/365&gt;R4,R4,(O4-N4+1)*K4*X4/365),2)</f>
        <v>3.9</v>
      </c>
      <c r="Z4" s="55">
        <f>R4-Y4</f>
        <v>0.21</v>
      </c>
      <c r="AA4" s="55" t="s">
        <v>996</v>
      </c>
      <c r="AB4" s="43" t="s">
        <v>61</v>
      </c>
    </row>
    <row r="5" spans="1:29" s="35" customFormat="1">
      <c r="A5" s="44"/>
      <c r="B5" s="44"/>
      <c r="C5" s="44"/>
      <c r="D5" s="44"/>
      <c r="E5" s="44"/>
      <c r="F5" s="44"/>
      <c r="G5" s="44"/>
      <c r="H5" s="44"/>
      <c r="I5" s="44"/>
      <c r="J5" s="44"/>
      <c r="K5" s="44"/>
      <c r="L5" s="44"/>
      <c r="M5" s="63"/>
      <c r="N5" s="52"/>
      <c r="O5" s="52">
        <v>45467</v>
      </c>
      <c r="P5" s="53">
        <v>45128</v>
      </c>
      <c r="Q5" s="58">
        <v>1.34</v>
      </c>
      <c r="R5" s="44"/>
      <c r="S5" s="53">
        <v>45128</v>
      </c>
      <c r="T5" s="58">
        <f>(S5-N4)/360*$U$4*$K$4</f>
        <v>1.34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45159</v>
      </c>
      <c r="Q6" s="58">
        <v>1.59</v>
      </c>
      <c r="R6" s="44"/>
      <c r="S6" s="53">
        <v>45159</v>
      </c>
      <c r="T6" s="58">
        <f>(S6-S5)/360*$U$4*$K$4</f>
        <v>1.59</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45190</v>
      </c>
      <c r="Q7" s="58">
        <v>1.59</v>
      </c>
      <c r="R7" s="44"/>
      <c r="S7" s="53">
        <v>45190</v>
      </c>
      <c r="T7" s="58">
        <f>(S7-S6)*$K$4*$U$4/360</f>
        <v>1.59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45220</v>
      </c>
      <c r="Q8" s="58">
        <v>1.54</v>
      </c>
      <c r="R8" s="44"/>
      <c r="S8" s="53">
        <v>45220</v>
      </c>
      <c r="T8" s="58">
        <f t="shared" ref="T8:T11" si="0">(S8-S7)*$K$4*$U$4/360</f>
        <v>1.54</v>
      </c>
      <c r="U8" s="58">
        <f t="shared" ref="U8:U11"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45251</v>
      </c>
      <c r="Q9" s="58">
        <v>1.59</v>
      </c>
      <c r="R9" s="44"/>
      <c r="S9" s="53">
        <v>45251</v>
      </c>
      <c r="T9" s="58">
        <f t="shared" si="0"/>
        <v>1.59</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45281</v>
      </c>
      <c r="Q10" s="58">
        <v>1.54</v>
      </c>
      <c r="R10" s="44"/>
      <c r="S10" s="53">
        <v>45281</v>
      </c>
      <c r="T10" s="58">
        <f t="shared" si="0"/>
        <v>1.54</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45312</v>
      </c>
      <c r="Q11" s="58">
        <v>1.59</v>
      </c>
      <c r="R11" s="44"/>
      <c r="S11" s="53">
        <v>45312</v>
      </c>
      <c r="T11" s="58">
        <f t="shared" si="0"/>
        <v>1.59</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成都傅立叶电子科技有限公司</v>
      </c>
      <c r="C27" s="43" t="str">
        <f t="shared" ref="C27:G27" si="2">C4</f>
        <v>成都市武侯区行政审批局</v>
      </c>
      <c r="D27" s="152" t="str">
        <f t="shared" si="2"/>
        <v>915101077280662806</v>
      </c>
      <c r="E27" s="43" t="str">
        <f t="shared" si="2"/>
        <v>国有企业</v>
      </c>
      <c r="F27" s="43" t="str">
        <f t="shared" si="2"/>
        <v>国家税务总局成都市武侯区税务局第二税务所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成都傅立叶电子科技有限公司</v>
      </c>
      <c r="C49" s="43" t="str">
        <f t="shared" ref="C49:G49" si="3">C27</f>
        <v>成都市武侯区行政审批局</v>
      </c>
      <c r="D49" s="152" t="str">
        <f t="shared" si="3"/>
        <v>915101077280662806</v>
      </c>
      <c r="E49" s="43" t="str">
        <f t="shared" si="3"/>
        <v>国有企业</v>
      </c>
      <c r="F49" s="43" t="str">
        <f t="shared" si="3"/>
        <v>国家税务总局成都市武侯区税务局第二税务所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成都傅立叶电子科技有限公司</v>
      </c>
      <c r="C71" s="43" t="str">
        <f t="shared" ref="C71:G71" si="4">C49</f>
        <v>成都市武侯区行政审批局</v>
      </c>
      <c r="D71" s="152" t="str">
        <f t="shared" si="4"/>
        <v>915101077280662806</v>
      </c>
      <c r="E71" s="43" t="str">
        <f t="shared" si="4"/>
        <v>国有企业</v>
      </c>
      <c r="F71" s="43" t="str">
        <f t="shared" si="4"/>
        <v>国家税务总局成都市武侯区税务局第二税务所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成都傅立叶电子科技有限公司</v>
      </c>
      <c r="C93" s="43" t="str">
        <f t="shared" ref="C93:G93" si="5">C71</f>
        <v>成都市武侯区行政审批局</v>
      </c>
      <c r="D93" s="152" t="str">
        <f t="shared" si="5"/>
        <v>915101077280662806</v>
      </c>
      <c r="E93" s="43" t="str">
        <f t="shared" si="5"/>
        <v>国有企业</v>
      </c>
      <c r="F93" s="43" t="str">
        <f t="shared" si="5"/>
        <v>国家税务总局成都市武侯区税务局第二税务所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3.9</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成都硅宝科技股份有限公司审计明细表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192</v>
      </c>
      <c r="C4" s="9" t="s">
        <v>52</v>
      </c>
      <c r="D4" s="9" t="s">
        <v>193</v>
      </c>
      <c r="E4" s="9" t="s">
        <v>194</v>
      </c>
      <c r="F4" s="9" t="s">
        <v>154</v>
      </c>
      <c r="G4" s="9" t="s">
        <v>195</v>
      </c>
      <c r="H4" s="9" t="s">
        <v>71</v>
      </c>
      <c r="I4" s="9" t="s">
        <v>196</v>
      </c>
      <c r="J4" s="9" t="s">
        <v>168</v>
      </c>
      <c r="K4" s="9">
        <v>500</v>
      </c>
      <c r="L4" s="9" t="s">
        <v>197</v>
      </c>
      <c r="M4" s="20" t="s">
        <v>198</v>
      </c>
      <c r="N4" s="16">
        <v>44903</v>
      </c>
      <c r="O4" s="16">
        <v>45267</v>
      </c>
      <c r="P4" s="9">
        <f>P16-N4</f>
        <v>364</v>
      </c>
      <c r="Q4" s="22">
        <f>SUM(Q5:Q25)</f>
        <v>17.600000000000001</v>
      </c>
      <c r="R4" s="22">
        <v>7.5</v>
      </c>
      <c r="S4" s="9"/>
      <c r="T4" s="22">
        <f>SUM(T5:T25)</f>
        <v>18.2</v>
      </c>
      <c r="U4" s="23">
        <v>3.5999999999999997E-2</v>
      </c>
      <c r="V4" s="16"/>
      <c r="W4" s="9" t="s">
        <v>42</v>
      </c>
      <c r="X4" s="24">
        <v>1.4999999999999999E-2</v>
      </c>
      <c r="Y4" s="9">
        <f>ROUNDDOWN(IF((O4-N4+1)*K4*X4/365&gt;R4,R4,(O4-N4+1)*K4*X4/365),2)</f>
        <v>7.5</v>
      </c>
      <c r="Z4" s="22">
        <f>R4-Y4</f>
        <v>0</v>
      </c>
      <c r="AA4" s="22"/>
      <c r="AB4" s="9" t="s">
        <v>61</v>
      </c>
      <c r="AD4" s="28">
        <f>(O4-N4+1)*K4*X4/365</f>
        <v>7.5</v>
      </c>
    </row>
    <row r="5" spans="1:30" s="2" customFormat="1">
      <c r="A5" s="10"/>
      <c r="B5" s="10"/>
      <c r="C5" s="10"/>
      <c r="D5" s="10"/>
      <c r="E5" s="10"/>
      <c r="F5" s="10"/>
      <c r="G5" s="10"/>
      <c r="H5" s="10"/>
      <c r="I5" s="10"/>
      <c r="J5" s="10"/>
      <c r="K5" s="10"/>
      <c r="L5" s="10"/>
      <c r="M5" s="17"/>
      <c r="N5" s="18"/>
      <c r="O5" s="18"/>
      <c r="P5" s="19">
        <v>44946</v>
      </c>
      <c r="Q5" s="25">
        <v>1.55</v>
      </c>
      <c r="R5" s="10"/>
      <c r="S5" s="19">
        <f>P5</f>
        <v>44946</v>
      </c>
      <c r="T5" s="25">
        <f>(S5-N4)/360*$U$4*$K$4</f>
        <v>2.15</v>
      </c>
      <c r="U5" s="25">
        <f>T5-Q5</f>
        <v>0.6</v>
      </c>
      <c r="V5" s="18"/>
      <c r="W5" s="10"/>
      <c r="X5" s="10"/>
      <c r="Y5" s="10">
        <f>ROUNDDOWN((V5-N4)*K4*X4/365,2)</f>
        <v>-922.66</v>
      </c>
      <c r="Z5" s="10"/>
      <c r="AA5" s="10"/>
      <c r="AB5" s="10"/>
    </row>
    <row r="6" spans="1:30" s="2" customFormat="1">
      <c r="A6" s="10"/>
      <c r="B6" s="10"/>
      <c r="C6" s="10"/>
      <c r="D6" s="10"/>
      <c r="E6" s="10"/>
      <c r="F6" s="10"/>
      <c r="G6" s="10"/>
      <c r="H6" s="10"/>
      <c r="I6" s="10"/>
      <c r="J6" s="10"/>
      <c r="K6" s="10"/>
      <c r="L6" s="10"/>
      <c r="M6" s="17"/>
      <c r="N6" s="18"/>
      <c r="O6" s="18"/>
      <c r="P6" s="19">
        <v>44977</v>
      </c>
      <c r="Q6" s="25">
        <v>1.55</v>
      </c>
      <c r="R6" s="10"/>
      <c r="S6" s="19">
        <f t="shared" ref="S6:S16" si="0">P6</f>
        <v>44977</v>
      </c>
      <c r="T6" s="25">
        <f>(S6-S5)*$K$4*$U$4/360</f>
        <v>1.55</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45005</v>
      </c>
      <c r="Q7" s="25">
        <v>1.4</v>
      </c>
      <c r="R7" s="10"/>
      <c r="S7" s="19">
        <f t="shared" si="0"/>
        <v>45005</v>
      </c>
      <c r="T7" s="25">
        <f t="shared" ref="T7:T16" si="1">(S7-S6)*$K$4*$U$4/360</f>
        <v>1.4</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45036</v>
      </c>
      <c r="Q8" s="25">
        <v>1.55</v>
      </c>
      <c r="R8" s="10"/>
      <c r="S8" s="19">
        <f t="shared" si="0"/>
        <v>45036</v>
      </c>
      <c r="T8" s="25">
        <f t="shared" si="1"/>
        <v>1.55</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45066</v>
      </c>
      <c r="Q9" s="25">
        <v>1.5</v>
      </c>
      <c r="R9" s="10"/>
      <c r="S9" s="19">
        <f t="shared" si="0"/>
        <v>45066</v>
      </c>
      <c r="T9" s="25">
        <f t="shared" si="1"/>
        <v>1.5</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45097</v>
      </c>
      <c r="Q10" s="25">
        <v>1.55</v>
      </c>
      <c r="R10" s="10"/>
      <c r="S10" s="19">
        <f t="shared" si="0"/>
        <v>45097</v>
      </c>
      <c r="T10" s="25">
        <f t="shared" si="1"/>
        <v>1.55</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45127</v>
      </c>
      <c r="Q11" s="25">
        <v>1.5</v>
      </c>
      <c r="R11" s="10"/>
      <c r="S11" s="19">
        <f t="shared" si="0"/>
        <v>45127</v>
      </c>
      <c r="T11" s="25">
        <f t="shared" si="1"/>
        <v>1.5</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45158</v>
      </c>
      <c r="Q12" s="25">
        <v>1.55</v>
      </c>
      <c r="R12" s="10"/>
      <c r="S12" s="19">
        <f t="shared" si="0"/>
        <v>45158</v>
      </c>
      <c r="T12" s="25">
        <f t="shared" si="1"/>
        <v>1.55</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45189</v>
      </c>
      <c r="Q13" s="25">
        <v>1.55</v>
      </c>
      <c r="R13" s="10"/>
      <c r="S13" s="19">
        <f t="shared" si="0"/>
        <v>45189</v>
      </c>
      <c r="T13" s="25">
        <f t="shared" si="1"/>
        <v>1.55</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45219</v>
      </c>
      <c r="Q14" s="25">
        <v>1.5</v>
      </c>
      <c r="R14" s="10"/>
      <c r="S14" s="19">
        <f t="shared" si="0"/>
        <v>45219</v>
      </c>
      <c r="T14" s="25">
        <f t="shared" si="1"/>
        <v>1.5</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45250</v>
      </c>
      <c r="Q15" s="25">
        <v>1.55</v>
      </c>
      <c r="R15" s="10"/>
      <c r="S15" s="19">
        <f t="shared" si="0"/>
        <v>45250</v>
      </c>
      <c r="T15" s="25">
        <f t="shared" si="1"/>
        <v>1.55</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45267</v>
      </c>
      <c r="Q16" s="25">
        <v>0.85</v>
      </c>
      <c r="R16" s="10"/>
      <c r="S16" s="19">
        <f t="shared" si="0"/>
        <v>45267</v>
      </c>
      <c r="T16" s="25">
        <f t="shared" si="1"/>
        <v>0.85</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23" hidden="1" customHeight="1">
      <c r="A26" s="9">
        <v>2</v>
      </c>
      <c r="B26" s="9" t="str">
        <f>B4</f>
        <v>成都硅宝科技股份有限公司</v>
      </c>
      <c r="C26" s="9" t="str">
        <f t="shared" ref="C26:G26" si="3">C4</f>
        <v>成都市市场监督管理局</v>
      </c>
      <c r="D26" s="9" t="str">
        <f t="shared" si="3"/>
        <v>91510100713042497M</v>
      </c>
      <c r="E26" s="9" t="str">
        <f t="shared" si="3"/>
        <v>私营股份有限公司</v>
      </c>
      <c r="F26" s="9" t="str">
        <f t="shared" si="3"/>
        <v>成都高新技术产业开发区税务局</v>
      </c>
      <c r="G26" s="9" t="str">
        <f t="shared" si="3"/>
        <v>44029220009022503458中国工商银行股份有限公司成都永丰路支行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成都硅宝科技股份有限公司</v>
      </c>
      <c r="C48" s="9" t="str">
        <f t="shared" ref="C48:G48" si="7">C26</f>
        <v>成都市市场监督管理局</v>
      </c>
      <c r="D48" s="9" t="str">
        <f t="shared" si="7"/>
        <v>91510100713042497M</v>
      </c>
      <c r="E48" s="9" t="str">
        <f t="shared" si="7"/>
        <v>私营股份有限公司</v>
      </c>
      <c r="F48" s="9" t="str">
        <f t="shared" si="7"/>
        <v>成都高新技术产业开发区税务局</v>
      </c>
      <c r="G48" s="9" t="str">
        <f t="shared" si="7"/>
        <v>44029220009022503458中国工商银行股份有限公司成都永丰路支行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成都硅宝科技股份有限公司</v>
      </c>
      <c r="C70" s="9" t="str">
        <f t="shared" ref="C70:G70" si="10">C48</f>
        <v>成都市市场监督管理局</v>
      </c>
      <c r="D70" s="9" t="str">
        <f t="shared" si="10"/>
        <v>91510100713042497M</v>
      </c>
      <c r="E70" s="9" t="str">
        <f t="shared" si="10"/>
        <v>私营股份有限公司</v>
      </c>
      <c r="F70" s="9" t="str">
        <f t="shared" si="10"/>
        <v>成都高新技术产业开发区税务局</v>
      </c>
      <c r="G70" s="9" t="str">
        <f t="shared" si="10"/>
        <v>44029220009022503458中国工商银行股份有限公司成都永丰路支行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成都硅宝科技股份有限公司</v>
      </c>
      <c r="C92" s="9" t="str">
        <f t="shared" ref="C92:G92" si="11">C70</f>
        <v>成都市市场监督管理局</v>
      </c>
      <c r="D92" s="9" t="str">
        <f t="shared" si="11"/>
        <v>91510100713042497M</v>
      </c>
      <c r="E92" s="9" t="str">
        <f t="shared" si="11"/>
        <v>私营股份有限公司</v>
      </c>
      <c r="F92" s="9" t="str">
        <f t="shared" si="11"/>
        <v>成都高新技术产业开发区税务局</v>
      </c>
      <c r="G92" s="9" t="str">
        <f t="shared" si="11"/>
        <v>44029220009022503458中国工商银行股份有限公司成都永丰路支行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22">
        <f>R92+R70+R48+R26+R4</f>
        <v>7.5</v>
      </c>
      <c r="S114" s="9"/>
      <c r="T114" s="9"/>
      <c r="U114" s="9"/>
      <c r="V114" s="9"/>
      <c r="W114" s="9"/>
      <c r="X114" s="9"/>
      <c r="Y114" s="9">
        <f>Y92+Y70+Y48+Y26++Y4</f>
        <v>7.5</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AC117"/>
  <sheetViews>
    <sheetView topLeftCell="D1" workbookViewId="0">
      <pane ySplit="3" topLeftCell="A34" activePane="bottomLeft" state="frozen"/>
      <selection pane="bottomLeft" activeCell="Y5" sqref="Y5"/>
    </sheetView>
  </sheetViews>
  <sheetFormatPr defaultColWidth="9" defaultRowHeight="14"/>
  <cols>
    <col min="1" max="6" width="9" style="36"/>
    <col min="7" max="7" width="9" style="36" hidden="1" customWidth="1"/>
    <col min="8" max="12" width="9" style="36"/>
    <col min="13" max="13" width="10.08203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成都能通科技股份有限公司审计明细表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641</v>
      </c>
      <c r="C4" s="43" t="s">
        <v>1420</v>
      </c>
      <c r="D4" s="49" t="s">
        <v>1421</v>
      </c>
      <c r="E4" s="43" t="s">
        <v>1422</v>
      </c>
      <c r="F4" s="43" t="s">
        <v>1423</v>
      </c>
      <c r="G4" s="43" t="s">
        <v>1229</v>
      </c>
      <c r="H4" s="43" t="s">
        <v>156</v>
      </c>
      <c r="I4" s="43" t="s">
        <v>131</v>
      </c>
      <c r="J4" s="43" t="s">
        <v>294</v>
      </c>
      <c r="K4" s="43">
        <v>1600</v>
      </c>
      <c r="L4" s="43" t="s">
        <v>1424</v>
      </c>
      <c r="M4" s="49" t="s">
        <v>1425</v>
      </c>
      <c r="N4" s="65">
        <v>44984</v>
      </c>
      <c r="O4" s="65">
        <v>45291</v>
      </c>
      <c r="P4" s="43">
        <f>P10-N4</f>
        <v>388</v>
      </c>
      <c r="Q4" s="55">
        <f>SUM(Q5:Q26)</f>
        <v>56.54</v>
      </c>
      <c r="R4" s="55">
        <v>27</v>
      </c>
      <c r="S4" s="43"/>
      <c r="T4" s="55">
        <f>SUM(T5:T26)</f>
        <v>56.9</v>
      </c>
      <c r="U4" s="56">
        <v>3.3000000000000002E-2</v>
      </c>
      <c r="V4" s="50"/>
      <c r="W4" s="43" t="s">
        <v>42</v>
      </c>
      <c r="X4" s="57">
        <v>0.02</v>
      </c>
      <c r="Y4" s="43">
        <f>ROUNDDOWN(IF((O4-N4+1)*K4*X4/365&gt;R4,R4,(O4-N4+1)*K4*X4/365),2)</f>
        <v>27</v>
      </c>
      <c r="Z4" s="55">
        <f>R4-Y4</f>
        <v>0</v>
      </c>
      <c r="AA4" s="55"/>
      <c r="AB4" s="43" t="s">
        <v>61</v>
      </c>
    </row>
    <row r="5" spans="1:29" s="35" customFormat="1">
      <c r="A5" s="44"/>
      <c r="B5" s="44"/>
      <c r="C5" s="44"/>
      <c r="D5" s="44"/>
      <c r="E5" s="44"/>
      <c r="F5" s="44"/>
      <c r="G5" s="44"/>
      <c r="H5" s="44"/>
      <c r="I5" s="44"/>
      <c r="J5" s="44"/>
      <c r="K5" s="44"/>
      <c r="L5" s="44"/>
      <c r="M5" s="63"/>
      <c r="N5" s="52"/>
      <c r="O5" s="65">
        <v>45714</v>
      </c>
      <c r="P5" s="53">
        <v>45016</v>
      </c>
      <c r="Q5" s="58">
        <v>3.23</v>
      </c>
      <c r="R5" s="44"/>
      <c r="S5" s="53">
        <v>45016</v>
      </c>
      <c r="T5" s="58">
        <f>(S5-N4)/360*$U$4*$K$4</f>
        <v>4.6900000000000004</v>
      </c>
      <c r="U5" s="58">
        <f>T5-Q5</f>
        <v>1.46</v>
      </c>
      <c r="V5" s="52"/>
      <c r="W5" s="44"/>
      <c r="X5" s="44"/>
      <c r="Y5" s="44"/>
      <c r="Z5" s="44"/>
      <c r="AA5" s="44"/>
      <c r="AB5" s="44"/>
    </row>
    <row r="6" spans="1:29" s="35" customFormat="1">
      <c r="A6" s="44"/>
      <c r="B6" s="44"/>
      <c r="C6" s="44"/>
      <c r="D6" s="44"/>
      <c r="E6" s="44"/>
      <c r="F6" s="44"/>
      <c r="G6" s="44"/>
      <c r="H6" s="44"/>
      <c r="I6" s="44"/>
      <c r="J6" s="44"/>
      <c r="K6" s="44"/>
      <c r="L6" s="44"/>
      <c r="M6" s="63"/>
      <c r="N6" s="52"/>
      <c r="O6" s="53"/>
      <c r="P6" s="53">
        <v>45098</v>
      </c>
      <c r="Q6" s="58">
        <v>13.49</v>
      </c>
      <c r="R6" s="44"/>
      <c r="S6" s="53">
        <v>45098</v>
      </c>
      <c r="T6" s="58">
        <f>(S6-S5)/360*$U$4*$K$4</f>
        <v>12.03</v>
      </c>
      <c r="U6" s="58">
        <f>T6-Q6</f>
        <v>-1.46</v>
      </c>
      <c r="V6" s="52"/>
      <c r="W6" s="44"/>
      <c r="X6" s="44"/>
      <c r="Y6" s="44"/>
      <c r="Z6" s="44"/>
      <c r="AA6" s="44"/>
      <c r="AB6" s="44"/>
    </row>
    <row r="7" spans="1:29" s="35" customFormat="1">
      <c r="A7" s="44"/>
      <c r="B7" s="44"/>
      <c r="C7" s="44"/>
      <c r="D7" s="44"/>
      <c r="E7" s="44"/>
      <c r="F7" s="44"/>
      <c r="G7" s="44"/>
      <c r="H7" s="44"/>
      <c r="I7" s="44"/>
      <c r="J7" s="44"/>
      <c r="K7" s="44"/>
      <c r="L7" s="44"/>
      <c r="M7" s="44"/>
      <c r="N7" s="52"/>
      <c r="O7" s="53"/>
      <c r="P7" s="53">
        <v>45190</v>
      </c>
      <c r="Q7" s="58">
        <v>13.49</v>
      </c>
      <c r="R7" s="44"/>
      <c r="S7" s="53">
        <v>45190</v>
      </c>
      <c r="T7" s="58">
        <f>(S7-S6)*$K$4*$U$4/360</f>
        <v>13.49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45281</v>
      </c>
      <c r="Q8" s="58">
        <v>13.35</v>
      </c>
      <c r="R8" s="44"/>
      <c r="S8" s="53">
        <v>45281</v>
      </c>
      <c r="T8" s="58">
        <f t="shared" ref="T8:T10" si="0">(S8-S7)*$K$4*$U$4/360</f>
        <v>13.35</v>
      </c>
      <c r="U8" s="58">
        <f t="shared" ref="U8:U10"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45349</v>
      </c>
      <c r="Q9" s="58">
        <v>0.49</v>
      </c>
      <c r="R9" s="44"/>
      <c r="S9" s="53">
        <v>45349</v>
      </c>
      <c r="T9" s="58">
        <f t="shared" si="0"/>
        <v>9.9700000000000006</v>
      </c>
      <c r="U9" s="58">
        <f t="shared" si="1"/>
        <v>9.48</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45372</v>
      </c>
      <c r="Q10" s="58">
        <v>12.49</v>
      </c>
      <c r="R10" s="44"/>
      <c r="S10" s="53">
        <v>45372</v>
      </c>
      <c r="T10" s="58">
        <f t="shared" si="0"/>
        <v>3.37</v>
      </c>
      <c r="U10" s="58">
        <f t="shared" si="1"/>
        <v>-9.1199999999999992</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成都能通科技股份有限公司</v>
      </c>
      <c r="C27" s="43" t="str">
        <f t="shared" ref="C27:G27" si="2">C4</f>
        <v>成都市市场管理监督局</v>
      </c>
      <c r="D27" s="43" t="str">
        <f t="shared" si="2"/>
        <v>9151010071603074X2</v>
      </c>
      <c r="E27" s="43" t="str">
        <f t="shared" si="2"/>
        <v>中小型</v>
      </c>
      <c r="F27" s="43" t="str">
        <f t="shared" si="2"/>
        <v>武侯区税务局</v>
      </c>
      <c r="G27" s="43" t="str">
        <f t="shared" si="2"/>
        <v>收款账号：511610018010210321008
开户行：交通银行成都双流棠湖支行</v>
      </c>
      <c r="H27" s="43" t="s">
        <v>71</v>
      </c>
      <c r="I27" s="43" t="s">
        <v>131</v>
      </c>
      <c r="J27" s="43" t="s">
        <v>294</v>
      </c>
      <c r="K27" s="43">
        <v>400</v>
      </c>
      <c r="L27" s="43" t="s">
        <v>1426</v>
      </c>
      <c r="M27" s="49" t="s">
        <v>1427</v>
      </c>
      <c r="N27" s="65">
        <v>44985</v>
      </c>
      <c r="O27" s="65">
        <v>45291</v>
      </c>
      <c r="P27" s="43">
        <f>P33-N27</f>
        <v>387</v>
      </c>
      <c r="Q27" s="55">
        <f>SUM(Q28:Q34)</f>
        <v>14.1</v>
      </c>
      <c r="R27" s="66">
        <v>5.05</v>
      </c>
      <c r="S27" s="43"/>
      <c r="T27" s="55">
        <f>SUM(T28:T33)</f>
        <v>14.2</v>
      </c>
      <c r="U27" s="56">
        <v>3.3000000000000002E-2</v>
      </c>
      <c r="V27" s="50"/>
      <c r="W27" s="43" t="s">
        <v>42</v>
      </c>
      <c r="X27" s="57">
        <v>1.4999999999999999E-2</v>
      </c>
      <c r="Y27" s="43">
        <f>ROUNDDOWN(IF((O27-N27+1)*K27*X27/365&gt;R27,R27,(O27-N27+1)*K27*X27/365),2)</f>
        <v>5.04</v>
      </c>
      <c r="Z27" s="55">
        <f>R27-Y27</f>
        <v>0.01</v>
      </c>
      <c r="AA27" s="55" t="s">
        <v>1263</v>
      </c>
      <c r="AB27" s="43" t="s">
        <v>61</v>
      </c>
    </row>
    <row r="28" spans="1:28" s="35" customFormat="1">
      <c r="A28" s="44"/>
      <c r="B28" s="44"/>
      <c r="C28" s="44"/>
      <c r="D28" s="44"/>
      <c r="E28" s="44"/>
      <c r="F28" s="44"/>
      <c r="G28" s="44"/>
      <c r="H28" s="44"/>
      <c r="I28" s="44"/>
      <c r="J28" s="44"/>
      <c r="K28" s="44"/>
      <c r="L28" s="44"/>
      <c r="M28" s="44"/>
      <c r="N28" s="52"/>
      <c r="O28" s="65">
        <v>45715</v>
      </c>
      <c r="P28" s="53">
        <v>45016</v>
      </c>
      <c r="Q28" s="58">
        <v>0.77</v>
      </c>
      <c r="R28" s="44"/>
      <c r="S28" s="53">
        <v>45016</v>
      </c>
      <c r="T28" s="58">
        <f>(S28-N27)/360*$U$27*$K$27</f>
        <v>1.1399999999999999</v>
      </c>
      <c r="U28" s="58">
        <f>T28-Q28</f>
        <v>0.37</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45098</v>
      </c>
      <c r="Q29" s="58">
        <v>3.37</v>
      </c>
      <c r="R29" s="44"/>
      <c r="S29" s="53">
        <v>45098</v>
      </c>
      <c r="T29" s="58">
        <f>(S29-S28)/360*$U$27*$K$27</f>
        <v>3.01</v>
      </c>
      <c r="U29" s="58">
        <f>T29-Q29</f>
        <v>-0.36</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45190</v>
      </c>
      <c r="Q30" s="58">
        <v>3.37</v>
      </c>
      <c r="R30" s="44"/>
      <c r="S30" s="53">
        <v>45190</v>
      </c>
      <c r="T30" s="58">
        <f t="shared" ref="T30:T33" si="3">(S30-S29)/360*$U$27*$K$27</f>
        <v>3.37</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45281</v>
      </c>
      <c r="Q31" s="58">
        <v>3.34</v>
      </c>
      <c r="R31" s="44"/>
      <c r="S31" s="53">
        <v>45281</v>
      </c>
      <c r="T31" s="58">
        <f t="shared" si="3"/>
        <v>3.34</v>
      </c>
      <c r="U31" s="58">
        <f t="shared" ref="U31:U33"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45350</v>
      </c>
      <c r="Q32" s="58">
        <v>0.13</v>
      </c>
      <c r="R32" s="44"/>
      <c r="S32" s="53">
        <v>45350</v>
      </c>
      <c r="T32" s="58">
        <f t="shared" si="3"/>
        <v>2.5299999999999998</v>
      </c>
      <c r="U32" s="58">
        <f t="shared" si="4"/>
        <v>2.4</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45372</v>
      </c>
      <c r="Q33" s="58">
        <v>3.12</v>
      </c>
      <c r="R33" s="44"/>
      <c r="S33" s="53">
        <v>45372</v>
      </c>
      <c r="T33" s="58">
        <f t="shared" si="3"/>
        <v>0.81</v>
      </c>
      <c r="U33" s="58">
        <f t="shared" si="4"/>
        <v>-2.31</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c r="A49" s="43">
        <v>3</v>
      </c>
      <c r="B49" s="43" t="str">
        <f>B27</f>
        <v>成都能通科技股份有限公司</v>
      </c>
      <c r="C49" s="43" t="str">
        <f t="shared" ref="C49:G49" si="5">C27</f>
        <v>成都市市场管理监督局</v>
      </c>
      <c r="D49" s="43" t="str">
        <f t="shared" si="5"/>
        <v>9151010071603074X2</v>
      </c>
      <c r="E49" s="43" t="str">
        <f t="shared" si="5"/>
        <v>中小型</v>
      </c>
      <c r="F49" s="43" t="str">
        <f t="shared" si="5"/>
        <v>武侯区税务局</v>
      </c>
      <c r="G49" s="43" t="str">
        <f t="shared" si="5"/>
        <v>收款账号：511610018010210321008
开户行：交通银行成都双流棠湖支行</v>
      </c>
      <c r="H49" s="43" t="s">
        <v>71</v>
      </c>
      <c r="I49" s="43" t="s">
        <v>131</v>
      </c>
      <c r="J49" s="43" t="s">
        <v>73</v>
      </c>
      <c r="K49" s="43">
        <v>950</v>
      </c>
      <c r="L49" s="43" t="s">
        <v>1428</v>
      </c>
      <c r="M49" s="49" t="s">
        <v>1429</v>
      </c>
      <c r="N49" s="65">
        <v>45016</v>
      </c>
      <c r="O49" s="65">
        <v>45291</v>
      </c>
      <c r="P49" s="43">
        <f>P53-N49</f>
        <v>356</v>
      </c>
      <c r="Q49" s="55">
        <f>SUM(Q50:Q56)</f>
        <v>30.05</v>
      </c>
      <c r="R49" s="66">
        <v>10.78</v>
      </c>
      <c r="S49" s="43"/>
      <c r="T49" s="55">
        <f>SUM(T50:T55)</f>
        <v>30.05</v>
      </c>
      <c r="U49" s="56">
        <v>3.2000000000000001E-2</v>
      </c>
      <c r="V49" s="50"/>
      <c r="W49" s="43" t="s">
        <v>42</v>
      </c>
      <c r="X49" s="57">
        <v>1.4999999999999999E-2</v>
      </c>
      <c r="Y49" s="43">
        <f>ROUNDDOWN(IF((O49-N49+1)*K49*X49/365&gt;R49,R49,(O49-N49+1)*K49*X49/365),2)</f>
        <v>10.77</v>
      </c>
      <c r="Z49" s="55">
        <f>R49-Y49</f>
        <v>0.01</v>
      </c>
      <c r="AA49" s="55" t="s">
        <v>1263</v>
      </c>
      <c r="AB49" s="43" t="s">
        <v>61</v>
      </c>
    </row>
    <row r="50" spans="1:28" s="35" customFormat="1">
      <c r="A50" s="44"/>
      <c r="B50" s="44"/>
      <c r="C50" s="44"/>
      <c r="D50" s="44"/>
      <c r="E50" s="44"/>
      <c r="F50" s="44"/>
      <c r="G50" s="44"/>
      <c r="H50" s="44"/>
      <c r="I50" s="44"/>
      <c r="J50" s="44"/>
      <c r="K50" s="44"/>
      <c r="L50" s="44"/>
      <c r="M50" s="44"/>
      <c r="N50" s="52"/>
      <c r="O50" s="65">
        <v>45381</v>
      </c>
      <c r="P50" s="53">
        <v>45098</v>
      </c>
      <c r="Q50" s="58">
        <v>6.92</v>
      </c>
      <c r="R50" s="44"/>
      <c r="S50" s="53">
        <v>45098</v>
      </c>
      <c r="T50" s="58">
        <f>(S50-N49)/360*$U$49*$K$49</f>
        <v>6.92</v>
      </c>
      <c r="U50" s="58">
        <f>T50-Q50</f>
        <v>0</v>
      </c>
      <c r="V50" s="52"/>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v>45190</v>
      </c>
      <c r="Q51" s="58">
        <v>7.77</v>
      </c>
      <c r="R51" s="44"/>
      <c r="S51" s="53">
        <v>45190</v>
      </c>
      <c r="T51" s="58">
        <f>(S51-S50)/360*$U$49*$K$49</f>
        <v>7.77</v>
      </c>
      <c r="U51" s="58">
        <f>T51-Q51</f>
        <v>0</v>
      </c>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v>45281</v>
      </c>
      <c r="Q52" s="58">
        <v>7.68</v>
      </c>
      <c r="R52" s="44"/>
      <c r="S52" s="53">
        <v>45281</v>
      </c>
      <c r="T52" s="58">
        <f t="shared" ref="T52:T53" si="6">(S52-S51)/360*$U$49*$K$49</f>
        <v>7.68</v>
      </c>
      <c r="U52" s="58">
        <f>T52-Q52</f>
        <v>0</v>
      </c>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v>45372</v>
      </c>
      <c r="Q53" s="58">
        <v>7.68</v>
      </c>
      <c r="R53" s="44"/>
      <c r="S53" s="53">
        <v>45372</v>
      </c>
      <c r="T53" s="58">
        <f t="shared" si="6"/>
        <v>7.68</v>
      </c>
      <c r="U53" s="58">
        <f t="shared" ref="U53" si="7">T53-Q53</f>
        <v>0</v>
      </c>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成都能通科技股份有限公司</v>
      </c>
      <c r="C71" s="43" t="str">
        <f t="shared" ref="C71:G71" si="8">C49</f>
        <v>成都市市场管理监督局</v>
      </c>
      <c r="D71" s="43" t="str">
        <f t="shared" si="8"/>
        <v>9151010071603074X2</v>
      </c>
      <c r="E71" s="43" t="str">
        <f t="shared" si="8"/>
        <v>中小型</v>
      </c>
      <c r="F71" s="43" t="str">
        <f t="shared" si="8"/>
        <v>武侯区税务局</v>
      </c>
      <c r="G71" s="43" t="str">
        <f t="shared" si="8"/>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成都能通科技股份有限公司</v>
      </c>
      <c r="C93" s="43" t="str">
        <f t="shared" ref="C93:G93" si="9">C71</f>
        <v>成都市市场管理监督局</v>
      </c>
      <c r="D93" s="43" t="str">
        <f t="shared" si="9"/>
        <v>9151010071603074X2</v>
      </c>
      <c r="E93" s="43" t="str">
        <f t="shared" si="9"/>
        <v>中小型</v>
      </c>
      <c r="F93" s="43" t="str">
        <f t="shared" si="9"/>
        <v>武侯区税务局</v>
      </c>
      <c r="G93" s="43" t="str">
        <f t="shared" si="9"/>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2950</v>
      </c>
      <c r="L115" s="43"/>
      <c r="M115" s="43"/>
      <c r="N115" s="50"/>
      <c r="O115" s="50"/>
      <c r="P115" s="43"/>
      <c r="Q115" s="43"/>
      <c r="R115" s="43"/>
      <c r="S115" s="43"/>
      <c r="T115" s="43"/>
      <c r="U115" s="43"/>
      <c r="V115" s="43"/>
      <c r="W115" s="43"/>
      <c r="X115" s="43"/>
      <c r="Y115" s="43">
        <f>Y93+Y71+Y49+Y27++Y4</f>
        <v>42.81</v>
      </c>
      <c r="Z115" s="43"/>
      <c r="AA115" s="43"/>
      <c r="AB115" s="43"/>
    </row>
    <row r="116" spans="1:28">
      <c r="I116" s="36" t="s">
        <v>49</v>
      </c>
      <c r="K116" s="36">
        <f>IF(K115&gt;3000,K117,K115)</f>
        <v>2950</v>
      </c>
    </row>
    <row r="117" spans="1:28" hidden="1">
      <c r="K117" s="36">
        <f>IF(K116&gt;3000,K118,K116)</f>
        <v>2950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AC117"/>
  <sheetViews>
    <sheetView topLeftCell="L1" zoomScale="80" zoomScaleNormal="80" workbookViewId="0">
      <pane ySplit="3" topLeftCell="A25" activePane="bottomLeft" state="frozen"/>
      <selection pane="bottomLeft" activeCell="AA28" sqref="AA28"/>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成都正汇信息技术有限公司审计明细表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683</v>
      </c>
      <c r="C4" s="43" t="s">
        <v>1375</v>
      </c>
      <c r="D4" s="49" t="s">
        <v>1430</v>
      </c>
      <c r="E4" s="43" t="s">
        <v>146</v>
      </c>
      <c r="F4" s="43" t="s">
        <v>1431</v>
      </c>
      <c r="G4" s="43" t="s">
        <v>1229</v>
      </c>
      <c r="H4" s="43" t="s">
        <v>958</v>
      </c>
      <c r="I4" s="43" t="s">
        <v>1432</v>
      </c>
      <c r="J4" s="43" t="s">
        <v>73</v>
      </c>
      <c r="K4" s="43">
        <v>100</v>
      </c>
      <c r="L4" s="43" t="s">
        <v>1433</v>
      </c>
      <c r="M4" s="49" t="s">
        <v>1434</v>
      </c>
      <c r="N4" s="65">
        <v>44925</v>
      </c>
      <c r="O4" s="65">
        <v>45289</v>
      </c>
      <c r="P4" s="43">
        <f>P17-N4</f>
        <v>364</v>
      </c>
      <c r="Q4" s="55">
        <f>SUM(Q5:Q26)</f>
        <v>4.12</v>
      </c>
      <c r="R4" s="55">
        <v>1</v>
      </c>
      <c r="S4" s="43"/>
      <c r="T4" s="55">
        <f>SUM(T5:T26)</f>
        <v>4.12</v>
      </c>
      <c r="U4" s="56">
        <v>4.1200000000000001E-2</v>
      </c>
      <c r="V4" s="50"/>
      <c r="W4" s="43" t="s">
        <v>42</v>
      </c>
      <c r="X4" s="57">
        <v>0.01</v>
      </c>
      <c r="Y4" s="43">
        <f>ROUNDDOWN(IF((O4-N4+1)*K4*X4/365&gt;R4,R4,(O4-N4+1)*K4*X4/365),2)</f>
        <v>1</v>
      </c>
      <c r="Z4" s="55">
        <f>R4-Y4</f>
        <v>0</v>
      </c>
      <c r="AA4" s="55"/>
      <c r="AB4" s="43" t="s">
        <v>61</v>
      </c>
    </row>
    <row r="5" spans="1:29" s="35" customFormat="1">
      <c r="A5" s="44"/>
      <c r="B5" s="44"/>
      <c r="C5" s="44"/>
      <c r="D5" s="44"/>
      <c r="E5" s="44"/>
      <c r="F5" s="44"/>
      <c r="G5" s="44"/>
      <c r="H5" s="44"/>
      <c r="I5" s="44"/>
      <c r="J5" s="44"/>
      <c r="K5" s="44"/>
      <c r="L5" s="44"/>
      <c r="M5" s="63"/>
      <c r="N5" s="52"/>
      <c r="O5" s="52"/>
      <c r="P5" s="53">
        <v>44946</v>
      </c>
      <c r="Q5" s="58">
        <v>0.24</v>
      </c>
      <c r="R5" s="44"/>
      <c r="S5" s="53">
        <v>44946</v>
      </c>
      <c r="T5" s="58">
        <f>(S5-N4)/360*$U$4*$K$4</f>
        <v>0.24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0.35</v>
      </c>
      <c r="R6" s="44"/>
      <c r="S6" s="53">
        <v>44977</v>
      </c>
      <c r="T6" s="58">
        <f>(S6-S5)/360*$U$4*$K$4</f>
        <v>0.35</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45005</v>
      </c>
      <c r="Q7" s="58">
        <v>0.32</v>
      </c>
      <c r="R7" s="44"/>
      <c r="S7" s="53">
        <v>45005</v>
      </c>
      <c r="T7" s="58">
        <f>(S7-S6)*$K$4*$U$4/360</f>
        <v>0.32</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0.35</v>
      </c>
      <c r="R8" s="44"/>
      <c r="S8" s="53">
        <v>45036</v>
      </c>
      <c r="T8" s="58">
        <f t="shared" ref="T8:T17" si="0">(S8-S7)*$K$4*$U$4/360</f>
        <v>0.35</v>
      </c>
      <c r="U8" s="58">
        <f t="shared" ref="U8:U17"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0.34</v>
      </c>
      <c r="R9" s="44"/>
      <c r="S9" s="53">
        <v>45066</v>
      </c>
      <c r="T9" s="58">
        <f t="shared" si="0"/>
        <v>0.34</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0.35</v>
      </c>
      <c r="R10" s="44"/>
      <c r="S10" s="53">
        <v>45097</v>
      </c>
      <c r="T10" s="58">
        <f t="shared" si="0"/>
        <v>0.35</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0.34</v>
      </c>
      <c r="R11" s="44"/>
      <c r="S11" s="53">
        <v>45127</v>
      </c>
      <c r="T11" s="58">
        <f t="shared" si="0"/>
        <v>0.34</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0.35</v>
      </c>
      <c r="R12" s="44"/>
      <c r="S12" s="53">
        <v>45158</v>
      </c>
      <c r="T12" s="58">
        <f t="shared" si="0"/>
        <v>0.35</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0.35</v>
      </c>
      <c r="R13" s="44"/>
      <c r="S13" s="53">
        <v>45189</v>
      </c>
      <c r="T13" s="58">
        <f t="shared" si="0"/>
        <v>0.35</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0.34</v>
      </c>
      <c r="R14" s="44"/>
      <c r="S14" s="53">
        <v>45219</v>
      </c>
      <c r="T14" s="58">
        <f t="shared" si="0"/>
        <v>0.34</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0.35</v>
      </c>
      <c r="R15" s="44"/>
      <c r="S15" s="53">
        <v>45250</v>
      </c>
      <c r="T15" s="58">
        <f t="shared" si="0"/>
        <v>0.35</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45280</v>
      </c>
      <c r="Q16" s="58">
        <v>0.34</v>
      </c>
      <c r="R16" s="44"/>
      <c r="S16" s="53">
        <v>45280</v>
      </c>
      <c r="T16" s="58">
        <f t="shared" si="0"/>
        <v>0.34</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45289</v>
      </c>
      <c r="Q17" s="58">
        <v>0.1</v>
      </c>
      <c r="R17" s="44"/>
      <c r="S17" s="53">
        <v>45289</v>
      </c>
      <c r="T17" s="58">
        <f t="shared" si="0"/>
        <v>0.1</v>
      </c>
      <c r="U17" s="58">
        <f t="shared" si="1"/>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成都正汇信息技术有限公司</v>
      </c>
      <c r="C27" s="43" t="str">
        <f t="shared" ref="C27:G27" si="2">C4</f>
        <v>成都市武侯区行政审批局</v>
      </c>
      <c r="D27" s="43" t="str">
        <f t="shared" si="2"/>
        <v>91510107567198652K</v>
      </c>
      <c r="E27" s="43" t="str">
        <f t="shared" si="2"/>
        <v>有限责任公司</v>
      </c>
      <c r="F27" s="43" t="str">
        <f t="shared" si="2"/>
        <v>国家税务总局成都市税务局</v>
      </c>
      <c r="G27" s="43" t="str">
        <f t="shared" si="2"/>
        <v>收款账号：511610018010210321008
开户行：交通银行成都双流棠湖支行</v>
      </c>
      <c r="H27" s="43" t="s">
        <v>958</v>
      </c>
      <c r="I27" s="43" t="s">
        <v>1435</v>
      </c>
      <c r="J27" s="43" t="s">
        <v>73</v>
      </c>
      <c r="K27" s="43">
        <v>300</v>
      </c>
      <c r="L27" s="43" t="s">
        <v>1436</v>
      </c>
      <c r="M27" s="43" t="s">
        <v>1437</v>
      </c>
      <c r="N27" s="83">
        <v>44909</v>
      </c>
      <c r="O27" s="83">
        <v>45254</v>
      </c>
      <c r="P27" s="43">
        <f>P38-N27</f>
        <v>345</v>
      </c>
      <c r="Q27" s="55">
        <f>SUM(Q28:Q43)</f>
        <v>11.48</v>
      </c>
      <c r="R27" s="66">
        <v>3</v>
      </c>
      <c r="S27" s="43"/>
      <c r="T27" s="55">
        <f>SUM(T28:T33)</f>
        <v>6.29</v>
      </c>
      <c r="U27" s="56">
        <v>0.04</v>
      </c>
      <c r="V27" s="50"/>
      <c r="W27" s="43" t="s">
        <v>42</v>
      </c>
      <c r="X27" s="57">
        <v>0.01</v>
      </c>
      <c r="Y27" s="43">
        <f>ROUNDDOWN(IF((O27-N27+1)*K27*X27/365&gt;R27,R27,(O27-N27+1)*K27*X27/365),2)</f>
        <v>2.84</v>
      </c>
      <c r="Z27" s="55">
        <f>R27-Y27</f>
        <v>0.16</v>
      </c>
      <c r="AA27" s="55" t="s">
        <v>485</v>
      </c>
      <c r="AB27" s="43" t="s">
        <v>61</v>
      </c>
    </row>
    <row r="28" spans="1:28" s="35" customFormat="1">
      <c r="A28" s="44"/>
      <c r="B28" s="44"/>
      <c r="C28" s="44"/>
      <c r="D28" s="44"/>
      <c r="E28" s="44"/>
      <c r="F28" s="44"/>
      <c r="G28" s="44"/>
      <c r="H28" s="44"/>
      <c r="I28" s="44"/>
      <c r="J28" s="44"/>
      <c r="K28" s="44"/>
      <c r="L28" s="44"/>
      <c r="M28" s="44"/>
      <c r="N28" s="85"/>
      <c r="O28" s="85"/>
      <c r="P28" s="53">
        <v>44947</v>
      </c>
      <c r="Q28" s="58">
        <v>1.27</v>
      </c>
      <c r="R28" s="44"/>
      <c r="S28" s="53">
        <v>44947</v>
      </c>
      <c r="T28" s="58">
        <f>(S28-N27)/360*$U$27*$K$27</f>
        <v>1.27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44978</v>
      </c>
      <c r="Q29" s="58">
        <v>1.03</v>
      </c>
      <c r="R29" s="44"/>
      <c r="S29" s="53">
        <v>44978</v>
      </c>
      <c r="T29" s="58">
        <f>(S29-S28)/360*$U$27*$K$27</f>
        <v>1.03</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45006</v>
      </c>
      <c r="Q30" s="58">
        <v>0.93</v>
      </c>
      <c r="R30" s="44"/>
      <c r="S30" s="53">
        <v>45006</v>
      </c>
      <c r="T30" s="58">
        <f t="shared" ref="T30:T38" si="3">(S30-S29)/360*$U$27*$K$27</f>
        <v>0.93</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45037</v>
      </c>
      <c r="Q31" s="58">
        <v>1.03</v>
      </c>
      <c r="R31" s="44"/>
      <c r="S31" s="53">
        <v>45037</v>
      </c>
      <c r="T31" s="58">
        <f t="shared" si="3"/>
        <v>1.03</v>
      </c>
      <c r="U31" s="58">
        <f t="shared" ref="U31:U38"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45067</v>
      </c>
      <c r="Q32" s="58">
        <v>1</v>
      </c>
      <c r="R32" s="44"/>
      <c r="S32" s="53">
        <v>45067</v>
      </c>
      <c r="T32" s="58">
        <f t="shared" si="3"/>
        <v>1</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45098</v>
      </c>
      <c r="Q33" s="58">
        <v>1.03</v>
      </c>
      <c r="R33" s="44"/>
      <c r="S33" s="53">
        <v>45098</v>
      </c>
      <c r="T33" s="58">
        <f t="shared" si="3"/>
        <v>1.03</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45128</v>
      </c>
      <c r="Q34" s="58">
        <v>1</v>
      </c>
      <c r="R34" s="44"/>
      <c r="S34" s="53">
        <v>45128</v>
      </c>
      <c r="T34" s="58">
        <f t="shared" si="3"/>
        <v>1</v>
      </c>
      <c r="U34" s="58">
        <f t="shared" si="4"/>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45159</v>
      </c>
      <c r="Q35" s="58">
        <v>1.03</v>
      </c>
      <c r="R35" s="44"/>
      <c r="S35" s="53">
        <v>45159</v>
      </c>
      <c r="T35" s="58">
        <f t="shared" si="3"/>
        <v>1.03</v>
      </c>
      <c r="U35" s="58">
        <f t="shared" si="4"/>
        <v>0</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45190</v>
      </c>
      <c r="Q36" s="58">
        <v>1.03</v>
      </c>
      <c r="R36" s="44"/>
      <c r="S36" s="53">
        <v>45190</v>
      </c>
      <c r="T36" s="58">
        <f t="shared" si="3"/>
        <v>1.03</v>
      </c>
      <c r="U36" s="58">
        <f t="shared" si="4"/>
        <v>0</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45220</v>
      </c>
      <c r="Q37" s="58">
        <v>1</v>
      </c>
      <c r="R37" s="44"/>
      <c r="S37" s="53">
        <v>45220</v>
      </c>
      <c r="T37" s="58">
        <f t="shared" si="3"/>
        <v>1</v>
      </c>
      <c r="U37" s="58">
        <f t="shared" si="4"/>
        <v>0</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45254</v>
      </c>
      <c r="Q38" s="58">
        <v>1.1299999999999999</v>
      </c>
      <c r="R38" s="44"/>
      <c r="S38" s="53">
        <v>45254</v>
      </c>
      <c r="T38" s="58">
        <f t="shared" si="3"/>
        <v>1.1299999999999999</v>
      </c>
      <c r="U38" s="58">
        <f t="shared" si="4"/>
        <v>0</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成都正汇信息技术有限公司</v>
      </c>
      <c r="C49" s="43" t="str">
        <f t="shared" ref="C49:G49" si="5">C27</f>
        <v>成都市武侯区行政审批局</v>
      </c>
      <c r="D49" s="43" t="str">
        <f t="shared" si="5"/>
        <v>91510107567198652K</v>
      </c>
      <c r="E49" s="43" t="str">
        <f t="shared" si="5"/>
        <v>有限责任公司</v>
      </c>
      <c r="F49" s="43" t="str">
        <f t="shared" si="5"/>
        <v>国家税务总局成都市税务局</v>
      </c>
      <c r="G49" s="43" t="str">
        <f t="shared" si="5"/>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成都正汇信息技术有限公司</v>
      </c>
      <c r="C71" s="43" t="str">
        <f t="shared" ref="C71:G71" si="6">C49</f>
        <v>成都市武侯区行政审批局</v>
      </c>
      <c r="D71" s="43" t="str">
        <f t="shared" si="6"/>
        <v>91510107567198652K</v>
      </c>
      <c r="E71" s="43" t="str">
        <f t="shared" si="6"/>
        <v>有限责任公司</v>
      </c>
      <c r="F71" s="43" t="str">
        <f t="shared" si="6"/>
        <v>国家税务总局成都市税务局</v>
      </c>
      <c r="G71" s="43" t="str">
        <f t="shared" si="6"/>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成都正汇信息技术有限公司</v>
      </c>
      <c r="C93" s="43" t="str">
        <f t="shared" ref="C93:G93" si="7">C71</f>
        <v>成都市武侯区行政审批局</v>
      </c>
      <c r="D93" s="43" t="str">
        <f t="shared" si="7"/>
        <v>91510107567198652K</v>
      </c>
      <c r="E93" s="43" t="str">
        <f t="shared" si="7"/>
        <v>有限责任公司</v>
      </c>
      <c r="F93" s="43" t="str">
        <f t="shared" si="7"/>
        <v>国家税务总局成都市税务局</v>
      </c>
      <c r="G93" s="43" t="str">
        <f t="shared" si="7"/>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400</v>
      </c>
      <c r="L115" s="43"/>
      <c r="M115" s="43"/>
      <c r="N115" s="50"/>
      <c r="O115" s="50"/>
      <c r="P115" s="43"/>
      <c r="Q115" s="43"/>
      <c r="R115" s="43"/>
      <c r="S115" s="43"/>
      <c r="T115" s="43"/>
      <c r="U115" s="43"/>
      <c r="V115" s="43"/>
      <c r="W115" s="43"/>
      <c r="X115" s="43"/>
      <c r="Y115" s="43">
        <f>Y93+Y71+Y49+Y27++Y4</f>
        <v>3.84</v>
      </c>
      <c r="Z115" s="43"/>
      <c r="AA115" s="43"/>
      <c r="AB115" s="43"/>
    </row>
    <row r="116" spans="1:28">
      <c r="I116" s="36" t="s">
        <v>49</v>
      </c>
      <c r="K116" s="36">
        <f>IF(K115&gt;3000,K117,K115)</f>
        <v>400</v>
      </c>
    </row>
    <row r="117" spans="1:28" hidden="1">
      <c r="K117" s="36">
        <f>IF(K116&gt;3000,K118,K116)</f>
        <v>400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AC117"/>
  <sheetViews>
    <sheetView topLeftCell="D1" zoomScale="60" zoomScaleNormal="60" workbookViewId="0">
      <pane ySplit="3" topLeftCell="A4" activePane="bottomLeft" state="frozen"/>
      <selection pane="bottomLeft" activeCell="W119" sqref="W119"/>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成都成电医星数字健康软件有限公司审计明细表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599</v>
      </c>
      <c r="C4" s="43" t="s">
        <v>1384</v>
      </c>
      <c r="D4" s="43" t="s">
        <v>1438</v>
      </c>
      <c r="E4" s="43" t="s">
        <v>121</v>
      </c>
      <c r="F4" s="43" t="s">
        <v>1402</v>
      </c>
      <c r="G4" s="43" t="s">
        <v>1229</v>
      </c>
      <c r="H4" s="43" t="s">
        <v>71</v>
      </c>
      <c r="I4" s="43" t="s">
        <v>1439</v>
      </c>
      <c r="J4" s="43" t="s">
        <v>73</v>
      </c>
      <c r="K4" s="43">
        <v>1000</v>
      </c>
      <c r="L4" s="43" t="s">
        <v>1440</v>
      </c>
      <c r="M4" s="49" t="s">
        <v>1441</v>
      </c>
      <c r="N4" s="65">
        <v>44981</v>
      </c>
      <c r="O4" s="65">
        <v>45288</v>
      </c>
      <c r="P4" s="43">
        <f>P15-N4</f>
        <v>307</v>
      </c>
      <c r="Q4" s="55">
        <f>SUM(Q5:Q26)</f>
        <v>34.07</v>
      </c>
      <c r="R4" s="55">
        <v>12.62</v>
      </c>
      <c r="S4" s="43"/>
      <c r="T4" s="55">
        <f>SUM(T5:T26)</f>
        <v>34.08</v>
      </c>
      <c r="U4" s="56">
        <v>0.04</v>
      </c>
      <c r="V4" s="50"/>
      <c r="W4" s="43" t="s">
        <v>1442</v>
      </c>
      <c r="X4" s="57">
        <v>1.4999999999999999E-2</v>
      </c>
      <c r="Y4" s="43">
        <f>ROUNDDOWN(IF((O4-N4+1)*K4*X4/365&gt;R4,R4,(O4-N4+1)*K4*X4/365),2)</f>
        <v>12.62</v>
      </c>
      <c r="Z4" s="55">
        <f>R4-Y4</f>
        <v>0</v>
      </c>
      <c r="AA4" s="55"/>
      <c r="AB4" s="43" t="s">
        <v>61</v>
      </c>
    </row>
    <row r="5" spans="1:29" s="35" customFormat="1" ht="28">
      <c r="A5" s="44"/>
      <c r="B5" s="44"/>
      <c r="C5" s="44"/>
      <c r="D5" s="44"/>
      <c r="E5" s="44"/>
      <c r="F5" s="44"/>
      <c r="G5" s="44"/>
      <c r="H5" s="44"/>
      <c r="I5" s="44"/>
      <c r="J5" s="44"/>
      <c r="K5" s="44"/>
      <c r="L5" s="44"/>
      <c r="M5" s="63" t="s">
        <v>1443</v>
      </c>
      <c r="N5" s="52"/>
      <c r="O5" s="65">
        <v>45345</v>
      </c>
      <c r="P5" s="53">
        <v>45006</v>
      </c>
      <c r="Q5" s="58">
        <v>2.78</v>
      </c>
      <c r="R5" s="44"/>
      <c r="S5" s="53">
        <v>45006</v>
      </c>
      <c r="T5" s="58">
        <f>(S5-N4)/360*$U$4*$K$4</f>
        <v>2.78</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45037</v>
      </c>
      <c r="Q6" s="58">
        <v>3.44</v>
      </c>
      <c r="R6" s="44"/>
      <c r="S6" s="53">
        <v>45037</v>
      </c>
      <c r="T6" s="58">
        <f>(S6-S5)/360*$U$4*$K$4</f>
        <v>3.44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45067</v>
      </c>
      <c r="Q7" s="58">
        <v>3.33</v>
      </c>
      <c r="R7" s="44"/>
      <c r="S7" s="53">
        <v>45067</v>
      </c>
      <c r="T7" s="58">
        <f>(S7-S6)*$K$4*$U$4/360</f>
        <v>3.33</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45098</v>
      </c>
      <c r="Q8" s="58">
        <v>3.44</v>
      </c>
      <c r="R8" s="44"/>
      <c r="S8" s="53">
        <v>45098</v>
      </c>
      <c r="T8" s="58">
        <f t="shared" ref="T8:T15" si="0">(S8-S7)*$K$4*$U$4/360</f>
        <v>3.44</v>
      </c>
      <c r="U8" s="58">
        <f t="shared" ref="U8:U15"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45128</v>
      </c>
      <c r="Q9" s="58">
        <v>3.33</v>
      </c>
      <c r="R9" s="44"/>
      <c r="S9" s="53">
        <v>45128</v>
      </c>
      <c r="T9" s="58">
        <f t="shared" si="0"/>
        <v>3.33</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45159</v>
      </c>
      <c r="Q10" s="58">
        <v>3.44</v>
      </c>
      <c r="R10" s="44"/>
      <c r="S10" s="53">
        <v>45159</v>
      </c>
      <c r="T10" s="58">
        <f t="shared" si="0"/>
        <v>3.44</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45190</v>
      </c>
      <c r="Q11" s="58">
        <v>3.44</v>
      </c>
      <c r="R11" s="44"/>
      <c r="S11" s="53">
        <v>45190</v>
      </c>
      <c r="T11" s="58">
        <f t="shared" si="0"/>
        <v>3.44</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45220</v>
      </c>
      <c r="Q12" s="58">
        <v>3.33</v>
      </c>
      <c r="R12" s="44"/>
      <c r="S12" s="53">
        <v>45220</v>
      </c>
      <c r="T12" s="58">
        <f t="shared" si="0"/>
        <v>3.33</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45251</v>
      </c>
      <c r="Q13" s="58">
        <v>3.44</v>
      </c>
      <c r="R13" s="44"/>
      <c r="S13" s="53">
        <v>45251</v>
      </c>
      <c r="T13" s="58">
        <f t="shared" si="0"/>
        <v>3.44</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45281</v>
      </c>
      <c r="Q14" s="58">
        <v>3.33</v>
      </c>
      <c r="R14" s="44"/>
      <c r="S14" s="53">
        <v>45281</v>
      </c>
      <c r="T14" s="58">
        <f t="shared" si="0"/>
        <v>3.33</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45288</v>
      </c>
      <c r="Q15" s="58">
        <v>0.77</v>
      </c>
      <c r="R15" s="44"/>
      <c r="S15" s="53">
        <v>45288</v>
      </c>
      <c r="T15" s="58">
        <f t="shared" si="0"/>
        <v>0.78</v>
      </c>
      <c r="U15" s="58">
        <f t="shared" si="1"/>
        <v>0.01</v>
      </c>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hidden="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成都成电医星数字健康软件有限公司</v>
      </c>
      <c r="C27" s="43" t="str">
        <f t="shared" ref="C27:G27" si="2">C4</f>
        <v>武侯区市场监督管理局</v>
      </c>
      <c r="D27" s="43" t="str">
        <f t="shared" si="2"/>
        <v>915101077900312730</v>
      </c>
      <c r="E27" s="43" t="str">
        <f t="shared" si="2"/>
        <v>其他有限责任公司</v>
      </c>
      <c r="F27" s="43" t="str">
        <f t="shared" si="2"/>
        <v>国家税务总局成都市武侯区税务局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成都成电医星数字健康软件有限公司</v>
      </c>
      <c r="C49" s="43" t="str">
        <f t="shared" ref="C49:G49" si="3">C27</f>
        <v>武侯区市场监督管理局</v>
      </c>
      <c r="D49" s="43" t="str">
        <f t="shared" si="3"/>
        <v>915101077900312730</v>
      </c>
      <c r="E49" s="43" t="str">
        <f t="shared" si="3"/>
        <v>其他有限责任公司</v>
      </c>
      <c r="F49" s="43" t="str">
        <f t="shared" si="3"/>
        <v>国家税务总局成都市武侯区税务局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成都成电医星数字健康软件有限公司</v>
      </c>
      <c r="C71" s="43" t="str">
        <f t="shared" ref="C71:G71" si="4">C49</f>
        <v>武侯区市场监督管理局</v>
      </c>
      <c r="D71" s="43" t="str">
        <f t="shared" si="4"/>
        <v>915101077900312730</v>
      </c>
      <c r="E71" s="43" t="str">
        <f t="shared" si="4"/>
        <v>其他有限责任公司</v>
      </c>
      <c r="F71" s="43" t="str">
        <f t="shared" si="4"/>
        <v>国家税务总局成都市武侯区税务局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成都成电医星数字健康软件有限公司</v>
      </c>
      <c r="C93" s="43" t="str">
        <f t="shared" ref="C93:G93" si="5">C71</f>
        <v>武侯区市场监督管理局</v>
      </c>
      <c r="D93" s="43" t="str">
        <f t="shared" si="5"/>
        <v>915101077900312730</v>
      </c>
      <c r="E93" s="43" t="str">
        <f t="shared" si="5"/>
        <v>其他有限责任公司</v>
      </c>
      <c r="F93" s="43" t="str">
        <f t="shared" si="5"/>
        <v>国家税务总局成都市武侯区税务局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12.62</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成都华信佳亿科技有限公司审计明细表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624</v>
      </c>
      <c r="C4" s="43" t="s">
        <v>1375</v>
      </c>
      <c r="D4" s="43" t="s">
        <v>1391</v>
      </c>
      <c r="E4" s="43" t="s">
        <v>146</v>
      </c>
      <c r="F4" s="43" t="s">
        <v>1423</v>
      </c>
      <c r="G4" s="43" t="s">
        <v>1229</v>
      </c>
      <c r="H4" s="43" t="s">
        <v>71</v>
      </c>
      <c r="I4" s="43" t="s">
        <v>1439</v>
      </c>
      <c r="J4" s="43" t="s">
        <v>73</v>
      </c>
      <c r="K4" s="43">
        <v>320</v>
      </c>
      <c r="L4" s="43" t="s">
        <v>1444</v>
      </c>
      <c r="M4" s="49" t="s">
        <v>1445</v>
      </c>
      <c r="N4" s="65">
        <v>45015</v>
      </c>
      <c r="O4" s="65">
        <v>45291</v>
      </c>
      <c r="P4" s="43">
        <f>P14-N4</f>
        <v>297</v>
      </c>
      <c r="Q4" s="55">
        <f>SUM(Q5:Q26)</f>
        <v>9.64</v>
      </c>
      <c r="R4" s="55">
        <v>3.64</v>
      </c>
      <c r="S4" s="43"/>
      <c r="T4" s="55">
        <f>SUM(T5:T26)</f>
        <v>9.64</v>
      </c>
      <c r="U4" s="56">
        <v>3.6499999999999998E-2</v>
      </c>
      <c r="V4" s="50"/>
      <c r="W4" s="43" t="s">
        <v>42</v>
      </c>
      <c r="X4" s="57">
        <v>1.4999999999999999E-2</v>
      </c>
      <c r="Y4" s="43">
        <f>ROUNDDOWN(IF((O4-N4+1)*K4*X4/365&gt;R4,R4,(O4-N4+1)*K4*X4/365),2)</f>
        <v>3.64</v>
      </c>
      <c r="Z4" s="55">
        <f>R4-Y4</f>
        <v>0</v>
      </c>
      <c r="AA4" s="55"/>
      <c r="AB4" s="43" t="s">
        <v>61</v>
      </c>
    </row>
    <row r="5" spans="1:29" s="35" customFormat="1">
      <c r="A5" s="44"/>
      <c r="B5" s="44"/>
      <c r="C5" s="44"/>
      <c r="D5" s="44"/>
      <c r="E5" s="44"/>
      <c r="F5" s="44"/>
      <c r="G5" s="44"/>
      <c r="H5" s="44"/>
      <c r="I5" s="44"/>
      <c r="J5" s="44"/>
      <c r="K5" s="44"/>
      <c r="L5" s="44"/>
      <c r="M5" s="63"/>
      <c r="N5" s="52"/>
      <c r="O5" s="65">
        <v>45379</v>
      </c>
      <c r="P5" s="53">
        <v>45037</v>
      </c>
      <c r="Q5" s="58">
        <v>0.71</v>
      </c>
      <c r="R5" s="44"/>
      <c r="S5" s="53">
        <v>45037</v>
      </c>
      <c r="T5" s="58">
        <f>(S5-N4)/360*$U$4*$K$4</f>
        <v>0.71</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45067</v>
      </c>
      <c r="Q6" s="58">
        <v>0.97</v>
      </c>
      <c r="R6" s="44"/>
      <c r="S6" s="53">
        <v>45067</v>
      </c>
      <c r="T6" s="58">
        <f>(S6-S5)/360*$U$4*$K$4</f>
        <v>0.97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45098</v>
      </c>
      <c r="Q7" s="58">
        <v>1.01</v>
      </c>
      <c r="R7" s="44"/>
      <c r="S7" s="53">
        <v>45098</v>
      </c>
      <c r="T7" s="58">
        <f>(S7-S6)*$K$4*$U$4/360</f>
        <v>1.01</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45128</v>
      </c>
      <c r="Q8" s="58">
        <v>0.97</v>
      </c>
      <c r="R8" s="44"/>
      <c r="S8" s="53">
        <v>45128</v>
      </c>
      <c r="T8" s="58">
        <f t="shared" ref="T8:T14" si="0">(S8-S7)*$K$4*$U$4/360</f>
        <v>0.97</v>
      </c>
      <c r="U8" s="58">
        <f t="shared" ref="U8:U14"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45159</v>
      </c>
      <c r="Q9" s="58">
        <v>1.01</v>
      </c>
      <c r="R9" s="44"/>
      <c r="S9" s="53">
        <v>45159</v>
      </c>
      <c r="T9" s="58">
        <f t="shared" si="0"/>
        <v>1.01</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45190</v>
      </c>
      <c r="Q10" s="58">
        <v>1.01</v>
      </c>
      <c r="R10" s="44"/>
      <c r="S10" s="53">
        <v>45190</v>
      </c>
      <c r="T10" s="58">
        <f t="shared" si="0"/>
        <v>1.01</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45220</v>
      </c>
      <c r="Q11" s="58">
        <v>0.97</v>
      </c>
      <c r="R11" s="44"/>
      <c r="S11" s="53">
        <v>45220</v>
      </c>
      <c r="T11" s="58">
        <f t="shared" si="0"/>
        <v>0.97</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45251</v>
      </c>
      <c r="Q12" s="58">
        <v>1.01</v>
      </c>
      <c r="R12" s="44"/>
      <c r="S12" s="53">
        <v>45251</v>
      </c>
      <c r="T12" s="58">
        <f t="shared" si="0"/>
        <v>1.01</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45281</v>
      </c>
      <c r="Q13" s="58">
        <v>0.97</v>
      </c>
      <c r="R13" s="44"/>
      <c r="S13" s="53">
        <v>45281</v>
      </c>
      <c r="T13" s="58">
        <f t="shared" si="0"/>
        <v>0.97</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45312</v>
      </c>
      <c r="Q14" s="58">
        <v>1.01</v>
      </c>
      <c r="R14" s="44"/>
      <c r="S14" s="53">
        <v>45312</v>
      </c>
      <c r="T14" s="58">
        <f t="shared" si="0"/>
        <v>1.01</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成都华信佳亿科技有限公司</v>
      </c>
      <c r="C27" s="43" t="str">
        <f t="shared" ref="C27:G27" si="2">C4</f>
        <v>成都市武侯区行政审批局</v>
      </c>
      <c r="D27" s="43" t="str">
        <f t="shared" si="2"/>
        <v>915101077464493817</v>
      </c>
      <c r="E27" s="43" t="str">
        <f t="shared" si="2"/>
        <v>有限责任公司</v>
      </c>
      <c r="F27" s="43" t="str">
        <f t="shared" si="2"/>
        <v>武侯区税务局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成都华信佳亿科技有限公司</v>
      </c>
      <c r="C49" s="43" t="str">
        <f t="shared" ref="C49:G49" si="3">C27</f>
        <v>成都市武侯区行政审批局</v>
      </c>
      <c r="D49" s="43" t="str">
        <f t="shared" si="3"/>
        <v>915101077464493817</v>
      </c>
      <c r="E49" s="43" t="str">
        <f t="shared" si="3"/>
        <v>有限责任公司</v>
      </c>
      <c r="F49" s="43" t="str">
        <f t="shared" si="3"/>
        <v>武侯区税务局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成都华信佳亿科技有限公司</v>
      </c>
      <c r="C71" s="43" t="str">
        <f t="shared" ref="C71:G71" si="4">C49</f>
        <v>成都市武侯区行政审批局</v>
      </c>
      <c r="D71" s="43" t="str">
        <f t="shared" si="4"/>
        <v>915101077464493817</v>
      </c>
      <c r="E71" s="43" t="str">
        <f t="shared" si="4"/>
        <v>有限责任公司</v>
      </c>
      <c r="F71" s="43" t="str">
        <f t="shared" si="4"/>
        <v>武侯区税务局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成都华信佳亿科技有限公司</v>
      </c>
      <c r="C93" s="43" t="str">
        <f t="shared" ref="C93:G93" si="5">C71</f>
        <v>成都市武侯区行政审批局</v>
      </c>
      <c r="D93" s="43" t="str">
        <f t="shared" si="5"/>
        <v>915101077464493817</v>
      </c>
      <c r="E93" s="43" t="str">
        <f t="shared" si="5"/>
        <v>有限责任公司</v>
      </c>
      <c r="F93" s="43" t="str">
        <f t="shared" si="5"/>
        <v>武侯区税务局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320</v>
      </c>
      <c r="L115" s="43"/>
      <c r="M115" s="43"/>
      <c r="N115" s="50"/>
      <c r="O115" s="50"/>
      <c r="P115" s="43"/>
      <c r="Q115" s="43"/>
      <c r="R115" s="43"/>
      <c r="S115" s="43"/>
      <c r="T115" s="43"/>
      <c r="U115" s="43"/>
      <c r="V115" s="43"/>
      <c r="W115" s="43"/>
      <c r="X115" s="43"/>
      <c r="Y115" s="43">
        <f>Y93+Y71+Y49+Y27++Y4</f>
        <v>3.64</v>
      </c>
      <c r="Z115" s="43"/>
      <c r="AA115" s="43"/>
      <c r="AB115" s="43"/>
    </row>
    <row r="116" spans="1:28">
      <c r="I116" s="36" t="s">
        <v>49</v>
      </c>
      <c r="K116" s="36">
        <f>IF(K115&gt;3000,K117,K115)</f>
        <v>320</v>
      </c>
    </row>
    <row r="117" spans="1:28" hidden="1">
      <c r="K117" s="36">
        <f>IF(K116&gt;3000,K118,K116)</f>
        <v>320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AC117"/>
  <sheetViews>
    <sheetView topLeftCell="J1" zoomScale="80" zoomScaleNormal="80"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丹氏生物科技成都有限公司审计明细表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687</v>
      </c>
      <c r="C4" s="43" t="s">
        <v>1446</v>
      </c>
      <c r="D4" s="43" t="s">
        <v>1447</v>
      </c>
      <c r="E4" s="43" t="s">
        <v>146</v>
      </c>
      <c r="F4" s="43" t="s">
        <v>751</v>
      </c>
      <c r="G4" s="43" t="s">
        <v>1229</v>
      </c>
      <c r="H4" s="43" t="s">
        <v>958</v>
      </c>
      <c r="I4" s="43" t="s">
        <v>1448</v>
      </c>
      <c r="J4" s="43" t="s">
        <v>933</v>
      </c>
      <c r="K4" s="43">
        <v>70</v>
      </c>
      <c r="L4" s="43" t="s">
        <v>1449</v>
      </c>
      <c r="M4" s="49" t="s">
        <v>1450</v>
      </c>
      <c r="N4" s="65">
        <v>44869</v>
      </c>
      <c r="O4" s="65">
        <v>45035</v>
      </c>
      <c r="P4" s="43">
        <f>P10-N4</f>
        <v>166</v>
      </c>
      <c r="Q4" s="55">
        <f>SUM(Q5:Q26)</f>
        <v>1.19</v>
      </c>
      <c r="R4" s="55">
        <v>0.35</v>
      </c>
      <c r="S4" s="43"/>
      <c r="T4" s="55">
        <f>SUM(T5:T26)</f>
        <v>1.1399999999999999</v>
      </c>
      <c r="U4" s="56">
        <v>3.5200000000000002E-2</v>
      </c>
      <c r="V4" s="50"/>
      <c r="W4" s="43" t="s">
        <v>1451</v>
      </c>
      <c r="X4" s="57">
        <v>0.01</v>
      </c>
      <c r="Y4" s="43">
        <f>ROUNDDOWN(IF((O4-N4+1)*K4*X4/365&gt;R4,R4,(O4-N4+1)*K4*X4/365),2)</f>
        <v>0.32</v>
      </c>
      <c r="Z4" s="55">
        <f>R4-Y4</f>
        <v>0.03</v>
      </c>
      <c r="AA4" s="55" t="s">
        <v>108</v>
      </c>
      <c r="AB4" s="43" t="s">
        <v>61</v>
      </c>
    </row>
    <row r="5" spans="1:29" s="35" customFormat="1">
      <c r="A5" s="44"/>
      <c r="B5" s="44"/>
      <c r="C5" s="44"/>
      <c r="D5" s="44"/>
      <c r="E5" s="44"/>
      <c r="F5" s="44"/>
      <c r="G5" s="44"/>
      <c r="H5" s="44"/>
      <c r="I5" s="44"/>
      <c r="J5" s="44"/>
      <c r="K5" s="44"/>
      <c r="L5" s="44"/>
      <c r="M5" s="63"/>
      <c r="N5" s="52"/>
      <c r="O5" s="52"/>
      <c r="P5" s="53">
        <v>44886</v>
      </c>
      <c r="Q5" s="58">
        <v>0.12</v>
      </c>
      <c r="R5" s="44"/>
      <c r="S5" s="53">
        <v>44886</v>
      </c>
      <c r="T5" s="58">
        <f>(S5-N4)/360*$U$4*$K$4</f>
        <v>0.12</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44916</v>
      </c>
      <c r="Q6" s="58">
        <v>0.22</v>
      </c>
      <c r="R6" s="44"/>
      <c r="S6" s="53">
        <v>44916</v>
      </c>
      <c r="T6" s="58">
        <f>(S6-S5)/360*$U$4*$K$4</f>
        <v>0.21</v>
      </c>
      <c r="U6" s="58">
        <f>T6-Q6</f>
        <v>-0.01</v>
      </c>
      <c r="V6" s="52"/>
      <c r="W6" s="44"/>
      <c r="X6" s="44"/>
      <c r="Y6" s="44"/>
      <c r="Z6" s="44"/>
      <c r="AA6" s="44"/>
      <c r="AB6" s="44"/>
    </row>
    <row r="7" spans="1:29" s="35" customFormat="1">
      <c r="A7" s="44"/>
      <c r="B7" s="44"/>
      <c r="C7" s="44"/>
      <c r="D7" s="44"/>
      <c r="E7" s="44"/>
      <c r="F7" s="44"/>
      <c r="G7" s="44"/>
      <c r="H7" s="44"/>
      <c r="I7" s="44"/>
      <c r="J7" s="44"/>
      <c r="K7" s="44"/>
      <c r="L7" s="44"/>
      <c r="M7" s="44"/>
      <c r="N7" s="52"/>
      <c r="O7" s="53"/>
      <c r="P7" s="53">
        <v>44947</v>
      </c>
      <c r="Q7" s="58">
        <v>0.22</v>
      </c>
      <c r="R7" s="44"/>
      <c r="S7" s="53">
        <v>44947</v>
      </c>
      <c r="T7" s="58">
        <f>(S7-S6)*$K$4*$U$4/360</f>
        <v>0.21</v>
      </c>
      <c r="U7" s="58">
        <f>T7-Q7</f>
        <v>-0.01</v>
      </c>
      <c r="V7" s="44"/>
      <c r="W7" s="44"/>
      <c r="X7" s="44"/>
      <c r="Y7" s="44"/>
      <c r="Z7" s="44"/>
      <c r="AA7" s="44"/>
      <c r="AB7" s="44"/>
    </row>
    <row r="8" spans="1:29" s="35" customFormat="1">
      <c r="A8" s="44"/>
      <c r="B8" s="44"/>
      <c r="C8" s="44"/>
      <c r="D8" s="44"/>
      <c r="E8" s="44"/>
      <c r="F8" s="44"/>
      <c r="G8" s="44"/>
      <c r="H8" s="44"/>
      <c r="I8" s="44"/>
      <c r="J8" s="44"/>
      <c r="K8" s="44"/>
      <c r="L8" s="44"/>
      <c r="M8" s="44"/>
      <c r="N8" s="52"/>
      <c r="O8" s="52"/>
      <c r="P8" s="53">
        <v>44978</v>
      </c>
      <c r="Q8" s="58">
        <v>0.22</v>
      </c>
      <c r="R8" s="44"/>
      <c r="S8" s="53">
        <v>44978</v>
      </c>
      <c r="T8" s="58">
        <f t="shared" ref="T8:T10" si="0">(S8-S7)*$K$4*$U$4/360</f>
        <v>0.21</v>
      </c>
      <c r="U8" s="58">
        <f t="shared" ref="U8:U10" si="1">T8-Q8</f>
        <v>-0.01</v>
      </c>
      <c r="V8" s="44"/>
      <c r="W8" s="44"/>
      <c r="X8" s="44"/>
      <c r="Y8" s="44"/>
      <c r="Z8" s="44"/>
      <c r="AA8" s="44"/>
      <c r="AB8" s="44"/>
    </row>
    <row r="9" spans="1:29" s="35" customFormat="1">
      <c r="A9" s="44"/>
      <c r="B9" s="44"/>
      <c r="C9" s="44"/>
      <c r="D9" s="44"/>
      <c r="E9" s="44"/>
      <c r="F9" s="44"/>
      <c r="G9" s="44"/>
      <c r="H9" s="44"/>
      <c r="I9" s="44"/>
      <c r="J9" s="44"/>
      <c r="K9" s="44"/>
      <c r="L9" s="44"/>
      <c r="M9" s="44"/>
      <c r="N9" s="52"/>
      <c r="O9" s="52"/>
      <c r="P9" s="53">
        <v>45006</v>
      </c>
      <c r="Q9" s="58">
        <v>0.2</v>
      </c>
      <c r="R9" s="44"/>
      <c r="S9" s="53">
        <v>45006</v>
      </c>
      <c r="T9" s="58">
        <f t="shared" si="0"/>
        <v>0.19</v>
      </c>
      <c r="U9" s="58">
        <f t="shared" si="1"/>
        <v>-0.01</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45035</v>
      </c>
      <c r="Q10" s="58">
        <v>0.21</v>
      </c>
      <c r="R10" s="44"/>
      <c r="S10" s="53">
        <v>45035</v>
      </c>
      <c r="T10" s="58">
        <f t="shared" si="0"/>
        <v>0.2</v>
      </c>
      <c r="U10" s="58">
        <f t="shared" si="1"/>
        <v>-0.01</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丹氏生物科技成都有限公司</v>
      </c>
      <c r="C27" s="43" t="str">
        <f t="shared" ref="C27:G27" si="2">C4</f>
        <v>郫都区行政审批局</v>
      </c>
      <c r="D27" s="43" t="str">
        <f t="shared" si="2"/>
        <v>91510124MA61U7R620</v>
      </c>
      <c r="E27" s="43" t="str">
        <f t="shared" si="2"/>
        <v>有限责任公司</v>
      </c>
      <c r="F27" s="43" t="str">
        <f t="shared" si="2"/>
        <v>郫都区</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丹氏生物科技成都有限公司</v>
      </c>
      <c r="C49" s="43" t="str">
        <f t="shared" ref="C49:G49" si="3">C27</f>
        <v>郫都区行政审批局</v>
      </c>
      <c r="D49" s="43" t="str">
        <f t="shared" si="3"/>
        <v>91510124MA61U7R620</v>
      </c>
      <c r="E49" s="43" t="str">
        <f t="shared" si="3"/>
        <v>有限责任公司</v>
      </c>
      <c r="F49" s="43" t="str">
        <f t="shared" si="3"/>
        <v>郫都区</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丹氏生物科技成都有限公司</v>
      </c>
      <c r="C71" s="43" t="str">
        <f t="shared" ref="C71:G71" si="4">C49</f>
        <v>郫都区行政审批局</v>
      </c>
      <c r="D71" s="43" t="str">
        <f t="shared" si="4"/>
        <v>91510124MA61U7R620</v>
      </c>
      <c r="E71" s="43" t="str">
        <f t="shared" si="4"/>
        <v>有限责任公司</v>
      </c>
      <c r="F71" s="43" t="str">
        <f t="shared" si="4"/>
        <v>郫都区</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丹氏生物科技成都有限公司</v>
      </c>
      <c r="C93" s="43" t="str">
        <f t="shared" ref="C93:G93" si="5">C71</f>
        <v>郫都区行政审批局</v>
      </c>
      <c r="D93" s="43" t="str">
        <f t="shared" si="5"/>
        <v>91510124MA61U7R620</v>
      </c>
      <c r="E93" s="43" t="str">
        <f t="shared" si="5"/>
        <v>有限责任公司</v>
      </c>
      <c r="F93" s="43" t="str">
        <f t="shared" si="5"/>
        <v>郫都区</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70</v>
      </c>
      <c r="L115" s="43"/>
      <c r="M115" s="43"/>
      <c r="N115" s="50"/>
      <c r="O115" s="50"/>
      <c r="P115" s="43"/>
      <c r="Q115" s="43"/>
      <c r="R115" s="43"/>
      <c r="S115" s="43"/>
      <c r="T115" s="43"/>
      <c r="U115" s="43"/>
      <c r="V115" s="43"/>
      <c r="W115" s="43"/>
      <c r="X115" s="43"/>
      <c r="Y115" s="43">
        <f>Y93+Y71+Y49+Y27++Y4</f>
        <v>0.32</v>
      </c>
      <c r="Z115" s="43"/>
      <c r="AA115" s="43"/>
      <c r="AB115" s="43"/>
    </row>
    <row r="116" spans="1:28">
      <c r="I116" s="36" t="s">
        <v>49</v>
      </c>
      <c r="K116" s="36">
        <f>IF(K115&gt;3000,K117,K115)</f>
        <v>70</v>
      </c>
    </row>
    <row r="117" spans="1:28" hidden="1">
      <c r="K117" s="36">
        <f>IF(K116&gt;3000,K118,K116)</f>
        <v>70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AC117"/>
  <sheetViews>
    <sheetView topLeftCell="D1" zoomScale="60" zoomScaleNormal="60" workbookViewId="0">
      <pane ySplit="3" topLeftCell="A13" activePane="bottomLeft" state="frozen"/>
      <selection pane="bottomLeft" activeCell="J5" sqref="J5"/>
    </sheetView>
  </sheetViews>
  <sheetFormatPr defaultColWidth="9" defaultRowHeight="14"/>
  <cols>
    <col min="1" max="6" width="9" style="36"/>
    <col min="7" max="7" width="9" style="36" hidden="1" customWidth="1"/>
    <col min="8" max="13" width="9" style="36"/>
    <col min="14" max="14" width="17.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四川诺乐电动科技有限公司审计明细表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40">
      <c r="A4" s="43">
        <v>1</v>
      </c>
      <c r="B4" s="43" t="s">
        <v>715</v>
      </c>
      <c r="C4" s="43" t="s">
        <v>1452</v>
      </c>
      <c r="D4" s="43" t="s">
        <v>1453</v>
      </c>
      <c r="E4" s="43" t="s">
        <v>146</v>
      </c>
      <c r="F4" s="43" t="s">
        <v>1454</v>
      </c>
      <c r="G4" s="43" t="s">
        <v>1229</v>
      </c>
      <c r="H4" s="43" t="s">
        <v>958</v>
      </c>
      <c r="I4" s="43" t="s">
        <v>1448</v>
      </c>
      <c r="J4" s="43" t="s">
        <v>933</v>
      </c>
      <c r="K4" s="43">
        <v>10</v>
      </c>
      <c r="L4" s="43" t="s">
        <v>1455</v>
      </c>
      <c r="M4" s="49" t="s">
        <v>1456</v>
      </c>
      <c r="N4" s="65">
        <v>44881</v>
      </c>
      <c r="O4" s="65">
        <v>44900</v>
      </c>
      <c r="P4" s="43">
        <f>P6-N4</f>
        <v>19</v>
      </c>
      <c r="Q4" s="55">
        <f>SUM(Q5:Q26)</f>
        <v>1.69</v>
      </c>
      <c r="R4" s="55">
        <v>0.05</v>
      </c>
      <c r="S4" s="43"/>
      <c r="T4" s="55">
        <f>SUM(T5:T26)</f>
        <v>0.2</v>
      </c>
      <c r="U4" s="56">
        <v>3.5200000000000002E-2</v>
      </c>
      <c r="V4" s="50"/>
      <c r="W4" s="43" t="s">
        <v>1457</v>
      </c>
      <c r="X4" s="57">
        <v>0.01</v>
      </c>
      <c r="Y4" s="43">
        <f>ROUNDDOWN(IF((O4-N4+1)*K4*X4/365&gt;R4,R4,(O4-N4+1)*K4*X4/365),2)</f>
        <v>0</v>
      </c>
      <c r="Z4" s="55">
        <f>R4-Y4</f>
        <v>0.05</v>
      </c>
      <c r="AA4" s="55" t="s">
        <v>108</v>
      </c>
      <c r="AB4" s="43" t="s">
        <v>1458</v>
      </c>
    </row>
    <row r="5" spans="1:29" s="35" customFormat="1">
      <c r="A5" s="44"/>
      <c r="B5" s="44"/>
      <c r="C5" s="44"/>
      <c r="D5" s="44"/>
      <c r="E5" s="44"/>
      <c r="F5" s="44"/>
      <c r="G5" s="44"/>
      <c r="H5" s="44"/>
      <c r="I5" s="44"/>
      <c r="J5" s="44"/>
      <c r="K5" s="44"/>
      <c r="L5" s="44"/>
      <c r="M5" s="63"/>
      <c r="N5" s="52"/>
      <c r="O5" s="52">
        <v>45061</v>
      </c>
      <c r="P5" s="53">
        <v>44886</v>
      </c>
      <c r="Q5" s="58">
        <v>0.19</v>
      </c>
      <c r="R5" s="44"/>
      <c r="S5" s="53">
        <v>44886</v>
      </c>
      <c r="T5" s="58">
        <f>(S5-N4)/360*$U$4*$K$4</f>
        <v>0</v>
      </c>
      <c r="U5" s="58">
        <f>T5-Q5</f>
        <v>-0.19</v>
      </c>
      <c r="V5" s="52"/>
      <c r="W5" s="44"/>
      <c r="X5" s="44"/>
      <c r="Y5" s="44"/>
      <c r="Z5" s="44"/>
      <c r="AA5" s="44"/>
      <c r="AB5" s="44"/>
    </row>
    <row r="6" spans="1:29" s="35" customFormat="1">
      <c r="A6" s="44"/>
      <c r="B6" s="44"/>
      <c r="C6" s="44"/>
      <c r="D6" s="44"/>
      <c r="E6" s="44"/>
      <c r="F6" s="44"/>
      <c r="G6" s="44"/>
      <c r="H6" s="44"/>
      <c r="I6" s="44"/>
      <c r="J6" s="44"/>
      <c r="K6" s="44"/>
      <c r="L6" s="44"/>
      <c r="M6" s="63"/>
      <c r="N6" s="52"/>
      <c r="O6" s="53"/>
      <c r="P6" s="53">
        <v>44900</v>
      </c>
      <c r="Q6" s="58">
        <v>0.14000000000000001</v>
      </c>
      <c r="R6" s="44"/>
      <c r="S6" s="53">
        <v>44900</v>
      </c>
      <c r="T6" s="58">
        <f>(S6-S5)/360*$U$4*$K$4</f>
        <v>0.01</v>
      </c>
      <c r="U6" s="58">
        <f>T6-Q6</f>
        <v>-0.13</v>
      </c>
      <c r="V6" s="52"/>
      <c r="W6" s="44"/>
      <c r="X6" s="44"/>
      <c r="Y6" s="44"/>
      <c r="Z6" s="44"/>
      <c r="AA6" s="44"/>
      <c r="AB6" s="44"/>
    </row>
    <row r="7" spans="1:29" s="35" customFormat="1">
      <c r="A7" s="44"/>
      <c r="B7" s="44"/>
      <c r="C7" s="44"/>
      <c r="D7" s="44"/>
      <c r="E7" s="44"/>
      <c r="F7" s="44"/>
      <c r="G7" s="44"/>
      <c r="H7" s="44"/>
      <c r="I7" s="44"/>
      <c r="J7" s="44"/>
      <c r="K7" s="44"/>
      <c r="L7" s="44"/>
      <c r="M7" s="44"/>
      <c r="N7" s="52"/>
      <c r="O7" s="53"/>
      <c r="P7" s="53">
        <v>44901</v>
      </c>
      <c r="Q7" s="58">
        <v>0.02</v>
      </c>
      <c r="R7" s="44"/>
      <c r="S7" s="53">
        <v>44901</v>
      </c>
      <c r="T7" s="58">
        <f>(S7-S6)*$K$4*$U$4/360</f>
        <v>0</v>
      </c>
      <c r="U7" s="58">
        <f>T7-Q7</f>
        <v>-0.02</v>
      </c>
      <c r="V7" s="44"/>
      <c r="W7" s="44"/>
      <c r="X7" s="44"/>
      <c r="Y7" s="44"/>
      <c r="Z7" s="44"/>
      <c r="AA7" s="44"/>
      <c r="AB7" s="44"/>
    </row>
    <row r="8" spans="1:29" s="35" customFormat="1">
      <c r="A8" s="44"/>
      <c r="B8" s="44"/>
      <c r="C8" s="44"/>
      <c r="D8" s="44"/>
      <c r="E8" s="44"/>
      <c r="F8" s="44"/>
      <c r="G8" s="44"/>
      <c r="H8" s="44"/>
      <c r="I8" s="44"/>
      <c r="J8" s="44"/>
      <c r="K8" s="44"/>
      <c r="L8" s="44"/>
      <c r="M8" s="44"/>
      <c r="N8" s="52"/>
      <c r="O8" s="52"/>
      <c r="P8" s="53">
        <v>44916</v>
      </c>
      <c r="Q8" s="58">
        <v>0</v>
      </c>
      <c r="R8" s="44"/>
      <c r="S8" s="53">
        <v>44916</v>
      </c>
      <c r="T8" s="58">
        <f t="shared" ref="T8:T15" si="0">(S8-S7)*$K$4*$U$4/360</f>
        <v>0.01</v>
      </c>
      <c r="U8" s="58">
        <f t="shared" ref="U8:U15" si="1">T8-Q8</f>
        <v>0.01</v>
      </c>
      <c r="V8" s="44"/>
      <c r="W8" s="44"/>
      <c r="X8" s="44"/>
      <c r="Y8" s="44"/>
      <c r="Z8" s="44"/>
      <c r="AA8" s="44"/>
      <c r="AB8" s="44"/>
    </row>
    <row r="9" spans="1:29" s="35" customFormat="1">
      <c r="A9" s="44"/>
      <c r="B9" s="44"/>
      <c r="C9" s="44"/>
      <c r="D9" s="44"/>
      <c r="E9" s="44"/>
      <c r="F9" s="44"/>
      <c r="G9" s="44"/>
      <c r="H9" s="44"/>
      <c r="I9" s="44"/>
      <c r="J9" s="44"/>
      <c r="K9" s="44"/>
      <c r="L9" s="44"/>
      <c r="M9" s="44"/>
      <c r="N9" s="52"/>
      <c r="O9" s="52"/>
      <c r="P9" s="53">
        <v>44929</v>
      </c>
      <c r="Q9" s="58">
        <v>0.03</v>
      </c>
      <c r="R9" s="44"/>
      <c r="S9" s="53">
        <v>44929</v>
      </c>
      <c r="T9" s="58">
        <f t="shared" si="0"/>
        <v>0.01</v>
      </c>
      <c r="U9" s="58">
        <f t="shared" si="1"/>
        <v>-0.02</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44937</v>
      </c>
      <c r="Q10" s="58">
        <v>0</v>
      </c>
      <c r="R10" s="44"/>
      <c r="S10" s="53">
        <v>44937</v>
      </c>
      <c r="T10" s="58">
        <f t="shared" si="0"/>
        <v>0.01</v>
      </c>
      <c r="U10" s="58">
        <f t="shared" si="1"/>
        <v>0.01</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45005</v>
      </c>
      <c r="Q11" s="58">
        <v>0.23</v>
      </c>
      <c r="R11" s="44"/>
      <c r="S11" s="53">
        <v>45005</v>
      </c>
      <c r="T11" s="58">
        <f t="shared" si="0"/>
        <v>7.0000000000000007E-2</v>
      </c>
      <c r="U11" s="58">
        <f t="shared" si="1"/>
        <v>-0.16</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45006</v>
      </c>
      <c r="Q12" s="58">
        <v>0.01</v>
      </c>
      <c r="R12" s="44"/>
      <c r="S12" s="53">
        <v>45006</v>
      </c>
      <c r="T12" s="58">
        <f t="shared" si="0"/>
        <v>0</v>
      </c>
      <c r="U12" s="58">
        <f t="shared" si="1"/>
        <v>-0.01</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45037</v>
      </c>
      <c r="Q13" s="58">
        <v>0.36</v>
      </c>
      <c r="R13" s="44"/>
      <c r="S13" s="53">
        <v>45037</v>
      </c>
      <c r="T13" s="58">
        <f t="shared" si="0"/>
        <v>0.03</v>
      </c>
      <c r="U13" s="58">
        <f t="shared" si="1"/>
        <v>-0.33</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45067</v>
      </c>
      <c r="Q14" s="58">
        <v>0.35</v>
      </c>
      <c r="R14" s="44"/>
      <c r="S14" s="53">
        <v>45067</v>
      </c>
      <c r="T14" s="58">
        <f t="shared" si="0"/>
        <v>0.03</v>
      </c>
      <c r="U14" s="58">
        <f t="shared" si="1"/>
        <v>-0.32</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45098</v>
      </c>
      <c r="Q15" s="58">
        <v>0.36</v>
      </c>
      <c r="R15" s="44"/>
      <c r="S15" s="53">
        <v>45098</v>
      </c>
      <c r="T15" s="58">
        <f t="shared" si="0"/>
        <v>0.03</v>
      </c>
      <c r="U15" s="58">
        <f t="shared" si="1"/>
        <v>-0.33</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四川诺乐电动科技有限公司</v>
      </c>
      <c r="C27" s="43" t="str">
        <f t="shared" ref="C27:G27" si="2">C4</f>
        <v>郫都区市场监督管理局</v>
      </c>
      <c r="D27" s="43" t="str">
        <f t="shared" si="2"/>
        <v>91510124MA61R3PC1B</v>
      </c>
      <c r="E27" s="43" t="str">
        <f t="shared" si="2"/>
        <v>有限责任公司</v>
      </c>
      <c r="F27" s="43" t="str">
        <f t="shared" si="2"/>
        <v>郫都区税务局</v>
      </c>
      <c r="G27" s="43" t="str">
        <f t="shared" si="2"/>
        <v>收款账号：511610018010210321008
开户行：交通银行成都双流棠湖支行</v>
      </c>
      <c r="H27" s="43" t="s">
        <v>958</v>
      </c>
      <c r="I27" s="43" t="s">
        <v>1448</v>
      </c>
      <c r="J27" s="43" t="s">
        <v>933</v>
      </c>
      <c r="K27" s="43">
        <v>16</v>
      </c>
      <c r="L27" s="43" t="s">
        <v>1459</v>
      </c>
      <c r="M27" s="43" t="s">
        <v>1460</v>
      </c>
      <c r="N27" s="83">
        <v>44868</v>
      </c>
      <c r="O27" s="65">
        <v>44900</v>
      </c>
      <c r="P27" s="43">
        <f>P38-N27</f>
        <v>230</v>
      </c>
      <c r="Q27" s="55">
        <f>SUM(Q28:Q38)</f>
        <v>1.69</v>
      </c>
      <c r="R27" s="43">
        <v>0.08</v>
      </c>
      <c r="S27" s="43"/>
      <c r="T27" s="55">
        <f>SUM(T28:T38)</f>
        <v>0.36</v>
      </c>
      <c r="U27" s="56">
        <v>3.5200000000000002E-2</v>
      </c>
      <c r="V27" s="50"/>
      <c r="W27" s="43" t="s">
        <v>1461</v>
      </c>
      <c r="X27" s="57">
        <v>0.01</v>
      </c>
      <c r="Y27" s="43">
        <f>ROUNDDOWN(IF((O27-N27+1)*K27*X27/365&gt;R27,R27,(O27-N27+1)*K27*X27/365),2)</f>
        <v>0.01</v>
      </c>
      <c r="Z27" s="55">
        <f>R27-Y27</f>
        <v>7.0000000000000007E-2</v>
      </c>
      <c r="AA27" s="55" t="s">
        <v>108</v>
      </c>
      <c r="AB27" s="43" t="s">
        <v>1462</v>
      </c>
    </row>
    <row r="28" spans="1:28" s="35" customFormat="1">
      <c r="A28" s="44"/>
      <c r="B28" s="44"/>
      <c r="C28" s="44"/>
      <c r="D28" s="44"/>
      <c r="E28" s="44"/>
      <c r="F28" s="44"/>
      <c r="G28" s="44"/>
      <c r="H28" s="44"/>
      <c r="I28" s="44"/>
      <c r="J28" s="44"/>
      <c r="K28" s="44"/>
      <c r="L28" s="44"/>
      <c r="M28" s="44"/>
      <c r="N28" s="52"/>
      <c r="O28" s="52">
        <v>45048</v>
      </c>
      <c r="P28" s="53">
        <v>44886</v>
      </c>
      <c r="Q28" s="58">
        <v>0.19</v>
      </c>
      <c r="R28" s="44"/>
      <c r="S28" s="53">
        <v>44886</v>
      </c>
      <c r="T28" s="58">
        <f>(S28-N27)/360*$U$27*$K$27</f>
        <v>0.03</v>
      </c>
      <c r="U28" s="58">
        <f>T28-Q28</f>
        <v>-0.16</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44900</v>
      </c>
      <c r="Q29" s="58">
        <v>0.14000000000000001</v>
      </c>
      <c r="R29" s="44"/>
      <c r="S29" s="53">
        <v>44900</v>
      </c>
      <c r="T29" s="58">
        <f>(S29-S28)/360*$U$27*$K$27</f>
        <v>0.02</v>
      </c>
      <c r="U29" s="58">
        <f>T29-Q29</f>
        <v>-0.12</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44901</v>
      </c>
      <c r="Q30" s="58">
        <v>0.02</v>
      </c>
      <c r="R30" s="44"/>
      <c r="S30" s="53">
        <v>44901</v>
      </c>
      <c r="T30" s="58">
        <f t="shared" ref="T30:T38" si="3">(S30-S29)/360*$U$27*$K$27</f>
        <v>0</v>
      </c>
      <c r="U30" s="58">
        <f>T30-Q30</f>
        <v>-0.02</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44916</v>
      </c>
      <c r="Q31" s="58">
        <v>0</v>
      </c>
      <c r="R31" s="44"/>
      <c r="S31" s="53">
        <v>44916</v>
      </c>
      <c r="T31" s="58">
        <f t="shared" si="3"/>
        <v>0.02</v>
      </c>
      <c r="U31" s="58">
        <f t="shared" ref="U31:U38" si="4">T31-Q31</f>
        <v>0.02</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44929</v>
      </c>
      <c r="Q32" s="58">
        <v>0.03</v>
      </c>
      <c r="R32" s="44"/>
      <c r="S32" s="53">
        <v>44929</v>
      </c>
      <c r="T32" s="58">
        <f t="shared" si="3"/>
        <v>0.02</v>
      </c>
      <c r="U32" s="58">
        <f t="shared" si="4"/>
        <v>-0.01</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44937</v>
      </c>
      <c r="Q33" s="58">
        <v>0</v>
      </c>
      <c r="R33" s="44"/>
      <c r="S33" s="53">
        <v>44937</v>
      </c>
      <c r="T33" s="58">
        <f t="shared" si="3"/>
        <v>0.01</v>
      </c>
      <c r="U33" s="58">
        <f t="shared" si="4"/>
        <v>0.01</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45005</v>
      </c>
      <c r="Q34" s="58">
        <v>0.23</v>
      </c>
      <c r="R34" s="44"/>
      <c r="S34" s="53">
        <v>45005</v>
      </c>
      <c r="T34" s="58">
        <f t="shared" si="3"/>
        <v>0.11</v>
      </c>
      <c r="U34" s="58">
        <f t="shared" si="4"/>
        <v>-0.12</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45006</v>
      </c>
      <c r="Q35" s="58">
        <v>0.01</v>
      </c>
      <c r="R35" s="44"/>
      <c r="S35" s="53">
        <v>45006</v>
      </c>
      <c r="T35" s="58">
        <f t="shared" si="3"/>
        <v>0</v>
      </c>
      <c r="U35" s="58">
        <f t="shared" si="4"/>
        <v>-0.01</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45037</v>
      </c>
      <c r="Q36" s="58">
        <v>0.36</v>
      </c>
      <c r="R36" s="44"/>
      <c r="S36" s="53">
        <v>45037</v>
      </c>
      <c r="T36" s="58">
        <f t="shared" si="3"/>
        <v>0.05</v>
      </c>
      <c r="U36" s="58">
        <f t="shared" si="4"/>
        <v>-0.31</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45067</v>
      </c>
      <c r="Q37" s="58">
        <v>0.35</v>
      </c>
      <c r="R37" s="44"/>
      <c r="S37" s="53">
        <v>45067</v>
      </c>
      <c r="T37" s="58">
        <f t="shared" si="3"/>
        <v>0.05</v>
      </c>
      <c r="U37" s="58">
        <f t="shared" si="4"/>
        <v>-0.3</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45098</v>
      </c>
      <c r="Q38" s="58">
        <v>0.36</v>
      </c>
      <c r="R38" s="44"/>
      <c r="S38" s="53">
        <v>45098</v>
      </c>
      <c r="T38" s="58">
        <f t="shared" si="3"/>
        <v>0.05</v>
      </c>
      <c r="U38" s="58">
        <f t="shared" si="4"/>
        <v>-0.31</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c r="A49" s="43">
        <v>3</v>
      </c>
      <c r="B49" s="43" t="str">
        <f>B27</f>
        <v>四川诺乐电动科技有限公司</v>
      </c>
      <c r="C49" s="43" t="str">
        <f t="shared" ref="C49:G49" si="5">C27</f>
        <v>郫都区市场监督管理局</v>
      </c>
      <c r="D49" s="43" t="str">
        <f t="shared" si="5"/>
        <v>91510124MA61R3PC1B</v>
      </c>
      <c r="E49" s="43" t="str">
        <f t="shared" si="5"/>
        <v>有限责任公司</v>
      </c>
      <c r="F49" s="43" t="str">
        <f t="shared" si="5"/>
        <v>郫都区税务局</v>
      </c>
      <c r="G49" s="43" t="str">
        <f t="shared" si="5"/>
        <v>收款账号：511610018010210321008
开户行：交通银行成都双流棠湖支行</v>
      </c>
      <c r="H49" s="43" t="s">
        <v>958</v>
      </c>
      <c r="I49" s="43" t="s">
        <v>1448</v>
      </c>
      <c r="J49" s="43" t="s">
        <v>933</v>
      </c>
      <c r="K49" s="43">
        <v>27.82</v>
      </c>
      <c r="L49" s="43" t="s">
        <v>1463</v>
      </c>
      <c r="M49" s="43" t="s">
        <v>1464</v>
      </c>
      <c r="N49" s="50">
        <v>44882</v>
      </c>
      <c r="O49" s="50">
        <v>45062</v>
      </c>
      <c r="P49" s="43">
        <f>P60-N49</f>
        <v>216</v>
      </c>
      <c r="Q49" s="55">
        <f>SUM(Q50:Q70)</f>
        <v>1.69</v>
      </c>
      <c r="R49" s="43">
        <v>0.13900000000000001</v>
      </c>
      <c r="S49" s="43"/>
      <c r="T49" s="55">
        <f>SUM(T50:T70)</f>
        <v>0.56999999999999995</v>
      </c>
      <c r="U49" s="56">
        <v>3.5200000000000002E-2</v>
      </c>
      <c r="V49" s="50"/>
      <c r="W49" s="43" t="s">
        <v>42</v>
      </c>
      <c r="X49" s="57">
        <v>0.01</v>
      </c>
      <c r="Y49" s="43">
        <f>ROUNDDOWN(IF((O49-N49+1)*K49*X49/365&gt;R49,R49,(O49-N49+1)*K49*X49/365),2)</f>
        <v>0.13</v>
      </c>
      <c r="Z49" s="55">
        <f>R49-Y49</f>
        <v>0.01</v>
      </c>
      <c r="AA49" s="55" t="s">
        <v>1263</v>
      </c>
      <c r="AB49" s="43" t="s">
        <v>1462</v>
      </c>
    </row>
    <row r="50" spans="1:28" s="35" customFormat="1">
      <c r="A50" s="44"/>
      <c r="B50" s="44"/>
      <c r="C50" s="44"/>
      <c r="D50" s="44"/>
      <c r="E50" s="44"/>
      <c r="F50" s="44"/>
      <c r="G50" s="44"/>
      <c r="H50" s="44"/>
      <c r="I50" s="44"/>
      <c r="J50" s="44"/>
      <c r="K50" s="44"/>
      <c r="L50" s="44"/>
      <c r="M50" s="44"/>
      <c r="N50" s="52"/>
      <c r="O50" s="52"/>
      <c r="P50" s="53">
        <v>44886</v>
      </c>
      <c r="Q50" s="58">
        <v>0.19</v>
      </c>
      <c r="R50" s="44"/>
      <c r="S50" s="53">
        <v>44886</v>
      </c>
      <c r="T50" s="58">
        <f>(S50-N49)/360*$U$49*$K$49</f>
        <v>0.01</v>
      </c>
      <c r="U50" s="58">
        <f>T50-Q50</f>
        <v>-0.18</v>
      </c>
      <c r="V50" s="52"/>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v>44900</v>
      </c>
      <c r="Q51" s="58">
        <v>0.14000000000000001</v>
      </c>
      <c r="R51" s="44"/>
      <c r="S51" s="53">
        <v>44900</v>
      </c>
      <c r="T51" s="58">
        <f>(S51-S50)/360*$U$49*$K$49</f>
        <v>0.04</v>
      </c>
      <c r="U51" s="58">
        <f>T51-Q51</f>
        <v>-0.1</v>
      </c>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v>44901</v>
      </c>
      <c r="Q52" s="58">
        <v>0.02</v>
      </c>
      <c r="R52" s="44"/>
      <c r="S52" s="53">
        <v>44901</v>
      </c>
      <c r="T52" s="58">
        <f t="shared" ref="T52:T60" si="6">(S52-S51)/360*$U$49*$K$49</f>
        <v>0</v>
      </c>
      <c r="U52" s="58">
        <f>T52-Q52</f>
        <v>-0.02</v>
      </c>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v>44916</v>
      </c>
      <c r="Q53" s="58">
        <v>0</v>
      </c>
      <c r="R53" s="44"/>
      <c r="S53" s="53">
        <v>44916</v>
      </c>
      <c r="T53" s="58">
        <f t="shared" si="6"/>
        <v>0.04</v>
      </c>
      <c r="U53" s="58">
        <f t="shared" ref="U53:U60" si="7">T53-Q53</f>
        <v>0.04</v>
      </c>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v>44929</v>
      </c>
      <c r="Q54" s="58">
        <v>0.03</v>
      </c>
      <c r="R54" s="44"/>
      <c r="S54" s="53">
        <v>44929</v>
      </c>
      <c r="T54" s="58">
        <f t="shared" si="6"/>
        <v>0.04</v>
      </c>
      <c r="U54" s="58">
        <f t="shared" si="7"/>
        <v>0.01</v>
      </c>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v>44937</v>
      </c>
      <c r="Q55" s="58">
        <v>0</v>
      </c>
      <c r="R55" s="44"/>
      <c r="S55" s="53">
        <v>44937</v>
      </c>
      <c r="T55" s="58">
        <f t="shared" si="6"/>
        <v>0.02</v>
      </c>
      <c r="U55" s="58">
        <f t="shared" si="7"/>
        <v>0.02</v>
      </c>
      <c r="V55" s="44"/>
      <c r="W55" s="44"/>
      <c r="X55" s="44"/>
      <c r="Y55" s="44"/>
      <c r="Z55" s="44"/>
      <c r="AA55" s="44"/>
      <c r="AB55" s="44"/>
    </row>
    <row r="56" spans="1:28" s="35" customFormat="1">
      <c r="A56" s="44"/>
      <c r="B56" s="44"/>
      <c r="C56" s="44"/>
      <c r="D56" s="44"/>
      <c r="E56" s="44"/>
      <c r="F56" s="44"/>
      <c r="G56" s="44"/>
      <c r="H56" s="44"/>
      <c r="I56" s="44"/>
      <c r="J56" s="44"/>
      <c r="K56" s="44"/>
      <c r="L56" s="44"/>
      <c r="M56" s="44"/>
      <c r="N56" s="52"/>
      <c r="O56" s="52"/>
      <c r="P56" s="53">
        <v>45005</v>
      </c>
      <c r="Q56" s="58">
        <v>0.23</v>
      </c>
      <c r="R56" s="44"/>
      <c r="S56" s="53">
        <v>45005</v>
      </c>
      <c r="T56" s="58">
        <f t="shared" si="6"/>
        <v>0.18</v>
      </c>
      <c r="U56" s="58">
        <f t="shared" si="7"/>
        <v>-0.05</v>
      </c>
      <c r="V56" s="44"/>
      <c r="W56" s="44"/>
      <c r="X56" s="44"/>
      <c r="Y56" s="44"/>
      <c r="Z56" s="44"/>
      <c r="AA56" s="44"/>
      <c r="AB56" s="44"/>
    </row>
    <row r="57" spans="1:28" s="35" customFormat="1">
      <c r="A57" s="44"/>
      <c r="B57" s="44"/>
      <c r="C57" s="44"/>
      <c r="D57" s="44"/>
      <c r="E57" s="44"/>
      <c r="F57" s="44"/>
      <c r="G57" s="44"/>
      <c r="H57" s="44"/>
      <c r="I57" s="44"/>
      <c r="J57" s="44"/>
      <c r="K57" s="44"/>
      <c r="L57" s="44"/>
      <c r="M57" s="44"/>
      <c r="N57" s="52"/>
      <c r="O57" s="52"/>
      <c r="P57" s="53">
        <v>45006</v>
      </c>
      <c r="Q57" s="58">
        <v>0.01</v>
      </c>
      <c r="R57" s="44"/>
      <c r="S57" s="53">
        <v>45006</v>
      </c>
      <c r="T57" s="58">
        <f t="shared" si="6"/>
        <v>0</v>
      </c>
      <c r="U57" s="58">
        <f t="shared" si="7"/>
        <v>-0.01</v>
      </c>
      <c r="V57" s="44"/>
      <c r="W57" s="44"/>
      <c r="X57" s="44"/>
      <c r="Y57" s="44"/>
      <c r="Z57" s="44"/>
      <c r="AA57" s="44"/>
      <c r="AB57" s="44"/>
    </row>
    <row r="58" spans="1:28" s="35" customFormat="1">
      <c r="A58" s="44"/>
      <c r="B58" s="44"/>
      <c r="C58" s="44"/>
      <c r="D58" s="44"/>
      <c r="E58" s="44"/>
      <c r="F58" s="44"/>
      <c r="G58" s="44"/>
      <c r="H58" s="44"/>
      <c r="I58" s="44"/>
      <c r="J58" s="44"/>
      <c r="K58" s="44"/>
      <c r="L58" s="44"/>
      <c r="M58" s="44"/>
      <c r="N58" s="52"/>
      <c r="O58" s="52"/>
      <c r="P58" s="53">
        <v>45037</v>
      </c>
      <c r="Q58" s="58">
        <v>0.36</v>
      </c>
      <c r="R58" s="44"/>
      <c r="S58" s="53">
        <v>45037</v>
      </c>
      <c r="T58" s="58">
        <f t="shared" si="6"/>
        <v>0.08</v>
      </c>
      <c r="U58" s="58">
        <f t="shared" si="7"/>
        <v>-0.28000000000000003</v>
      </c>
      <c r="V58" s="44"/>
      <c r="W58" s="44"/>
      <c r="X58" s="44"/>
      <c r="Y58" s="44"/>
      <c r="Z58" s="44"/>
      <c r="AA58" s="44"/>
      <c r="AB58" s="44"/>
    </row>
    <row r="59" spans="1:28" s="35" customFormat="1">
      <c r="A59" s="44"/>
      <c r="B59" s="44"/>
      <c r="C59" s="44"/>
      <c r="D59" s="44"/>
      <c r="E59" s="44"/>
      <c r="F59" s="44"/>
      <c r="G59" s="44"/>
      <c r="H59" s="44"/>
      <c r="I59" s="44"/>
      <c r="J59" s="44"/>
      <c r="K59" s="44"/>
      <c r="L59" s="44"/>
      <c r="M59" s="44"/>
      <c r="N59" s="52"/>
      <c r="O59" s="52"/>
      <c r="P59" s="53">
        <v>45067</v>
      </c>
      <c r="Q59" s="58">
        <v>0.35</v>
      </c>
      <c r="R59" s="44"/>
      <c r="S59" s="53">
        <v>45067</v>
      </c>
      <c r="T59" s="58">
        <f t="shared" si="6"/>
        <v>0.08</v>
      </c>
      <c r="U59" s="58">
        <f t="shared" si="7"/>
        <v>-0.27</v>
      </c>
      <c r="V59" s="44"/>
      <c r="W59" s="44"/>
      <c r="X59" s="44"/>
      <c r="Y59" s="44"/>
      <c r="Z59" s="44"/>
      <c r="AA59" s="44"/>
      <c r="AB59" s="44"/>
    </row>
    <row r="60" spans="1:28" s="35" customFormat="1">
      <c r="A60" s="44"/>
      <c r="B60" s="44"/>
      <c r="C60" s="44"/>
      <c r="D60" s="44"/>
      <c r="E60" s="44"/>
      <c r="F60" s="44"/>
      <c r="G60" s="44"/>
      <c r="H60" s="44"/>
      <c r="I60" s="44"/>
      <c r="J60" s="44"/>
      <c r="K60" s="44"/>
      <c r="L60" s="44"/>
      <c r="M60" s="44"/>
      <c r="N60" s="52"/>
      <c r="O60" s="52"/>
      <c r="P60" s="53">
        <v>45098</v>
      </c>
      <c r="Q60" s="58">
        <v>0.36</v>
      </c>
      <c r="R60" s="44"/>
      <c r="S60" s="53">
        <v>45098</v>
      </c>
      <c r="T60" s="58">
        <f t="shared" si="6"/>
        <v>0.08</v>
      </c>
      <c r="U60" s="58">
        <f t="shared" si="7"/>
        <v>-0.28000000000000003</v>
      </c>
      <c r="V60" s="44"/>
      <c r="W60" s="44"/>
      <c r="X60" s="44"/>
      <c r="Y60" s="44"/>
      <c r="Z60" s="44"/>
      <c r="AA60" s="44"/>
      <c r="AB60" s="44"/>
    </row>
    <row r="61" spans="1:28" s="35" customFormat="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c r="A71" s="43">
        <v>4</v>
      </c>
      <c r="B71" s="43" t="str">
        <f>B49</f>
        <v>四川诺乐电动科技有限公司</v>
      </c>
      <c r="C71" s="43" t="str">
        <f t="shared" ref="C71:G71" si="8">C49</f>
        <v>郫都区市场监督管理局</v>
      </c>
      <c r="D71" s="43" t="str">
        <f t="shared" si="8"/>
        <v>91510124MA61R3PC1B</v>
      </c>
      <c r="E71" s="43" t="str">
        <f t="shared" si="8"/>
        <v>有限责任公司</v>
      </c>
      <c r="F71" s="43" t="str">
        <f t="shared" si="8"/>
        <v>郫都区税务局</v>
      </c>
      <c r="G71" s="43" t="str">
        <f t="shared" si="8"/>
        <v>收款账号：511610018010210321008
开户行：交通银行成都双流棠湖支行</v>
      </c>
      <c r="H71" s="43" t="s">
        <v>958</v>
      </c>
      <c r="I71" s="43" t="s">
        <v>1448</v>
      </c>
      <c r="J71" s="43" t="s">
        <v>933</v>
      </c>
      <c r="K71" s="43">
        <v>50</v>
      </c>
      <c r="L71" s="43" t="s">
        <v>1465</v>
      </c>
      <c r="M71" s="43" t="s">
        <v>1466</v>
      </c>
      <c r="N71" s="83">
        <v>44923</v>
      </c>
      <c r="O71" s="83">
        <v>45103</v>
      </c>
      <c r="P71" s="43">
        <f>P82-N71</f>
        <v>175</v>
      </c>
      <c r="Q71" s="55">
        <f>SUM(Q72:Q92)</f>
        <v>1.69</v>
      </c>
      <c r="R71" s="43">
        <v>0.245</v>
      </c>
      <c r="S71" s="43"/>
      <c r="T71" s="55">
        <f>SUM(T72:T92)</f>
        <v>0.84</v>
      </c>
      <c r="U71" s="56">
        <v>3.5200000000000002E-2</v>
      </c>
      <c r="V71" s="50"/>
      <c r="W71" s="43" t="s">
        <v>42</v>
      </c>
      <c r="X71" s="57">
        <v>0.01</v>
      </c>
      <c r="Y71" s="43">
        <f>ROUNDDOWN(IF((O71-N71+1)*K71*X71/365&gt;R71,R71,(O71-N71+1)*K71*X71/365),2)</f>
        <v>0.24</v>
      </c>
      <c r="Z71" s="55">
        <f>R71-Y71</f>
        <v>0.01</v>
      </c>
      <c r="AA71" s="55" t="s">
        <v>1263</v>
      </c>
      <c r="AB71" s="43" t="s">
        <v>1462</v>
      </c>
    </row>
    <row r="72" spans="1:28" s="35" customFormat="1">
      <c r="A72" s="44"/>
      <c r="B72" s="44"/>
      <c r="C72" s="44"/>
      <c r="D72" s="44"/>
      <c r="E72" s="44"/>
      <c r="F72" s="44"/>
      <c r="G72" s="44"/>
      <c r="H72" s="44"/>
      <c r="I72" s="44"/>
      <c r="J72" s="44"/>
      <c r="K72" s="44"/>
      <c r="L72" s="44"/>
      <c r="M72" s="44"/>
      <c r="N72" s="52"/>
      <c r="O72" s="52"/>
      <c r="P72" s="53">
        <v>44886</v>
      </c>
      <c r="Q72" s="58">
        <v>0.19</v>
      </c>
      <c r="R72" s="44"/>
      <c r="S72" s="53">
        <v>44886</v>
      </c>
      <c r="T72" s="58">
        <f>(S72-N71)/360*$U$71*$K$71</f>
        <v>-0.18</v>
      </c>
      <c r="U72" s="58">
        <f>T72-Q72</f>
        <v>-0.37</v>
      </c>
      <c r="V72" s="52"/>
      <c r="W72" s="44"/>
      <c r="X72" s="44"/>
      <c r="Y72" s="44"/>
      <c r="Z72" s="44"/>
      <c r="AA72" s="44"/>
      <c r="AB72" s="44"/>
    </row>
    <row r="73" spans="1:28" s="35" customFormat="1">
      <c r="A73" s="44"/>
      <c r="B73" s="44"/>
      <c r="C73" s="44"/>
      <c r="D73" s="44"/>
      <c r="E73" s="44"/>
      <c r="F73" s="44"/>
      <c r="G73" s="44"/>
      <c r="H73" s="44"/>
      <c r="I73" s="44"/>
      <c r="J73" s="44"/>
      <c r="K73" s="44"/>
      <c r="L73" s="44"/>
      <c r="M73" s="44"/>
      <c r="N73" s="52"/>
      <c r="O73" s="52"/>
      <c r="P73" s="53">
        <v>44900</v>
      </c>
      <c r="Q73" s="58">
        <v>0.14000000000000001</v>
      </c>
      <c r="R73" s="44"/>
      <c r="S73" s="53">
        <v>44900</v>
      </c>
      <c r="T73" s="58">
        <f>(S73-S72)/360*$U$71*$K$71</f>
        <v>7.0000000000000007E-2</v>
      </c>
      <c r="U73" s="58">
        <f>T73-Q73</f>
        <v>-7.0000000000000007E-2</v>
      </c>
      <c r="V73" s="44"/>
      <c r="W73" s="44"/>
      <c r="X73" s="44"/>
      <c r="Y73" s="44"/>
      <c r="Z73" s="44"/>
      <c r="AA73" s="44"/>
      <c r="AB73" s="44"/>
    </row>
    <row r="74" spans="1:28" s="35" customFormat="1">
      <c r="A74" s="44"/>
      <c r="B74" s="44"/>
      <c r="C74" s="44"/>
      <c r="D74" s="44"/>
      <c r="E74" s="44"/>
      <c r="F74" s="44"/>
      <c r="G74" s="44"/>
      <c r="H74" s="44"/>
      <c r="I74" s="44"/>
      <c r="J74" s="44"/>
      <c r="K74" s="44"/>
      <c r="L74" s="44"/>
      <c r="M74" s="44"/>
      <c r="N74" s="52"/>
      <c r="O74" s="52"/>
      <c r="P74" s="53">
        <v>44901</v>
      </c>
      <c r="Q74" s="58">
        <v>0.02</v>
      </c>
      <c r="R74" s="44"/>
      <c r="S74" s="53">
        <v>44901</v>
      </c>
      <c r="T74" s="58">
        <f t="shared" ref="T74:T82" si="9">(S74-S73)/360*$U$71*$K$71</f>
        <v>0</v>
      </c>
      <c r="U74" s="58">
        <f>T74-Q74</f>
        <v>-0.02</v>
      </c>
      <c r="V74" s="44"/>
      <c r="W74" s="44"/>
      <c r="X74" s="44"/>
      <c r="Y74" s="44"/>
      <c r="Z74" s="44"/>
      <c r="AA74" s="44"/>
      <c r="AB74" s="44"/>
    </row>
    <row r="75" spans="1:28" s="35" customFormat="1">
      <c r="A75" s="44"/>
      <c r="B75" s="44"/>
      <c r="C75" s="44"/>
      <c r="D75" s="44"/>
      <c r="E75" s="44"/>
      <c r="F75" s="44"/>
      <c r="G75" s="44"/>
      <c r="H75" s="44"/>
      <c r="I75" s="44"/>
      <c r="J75" s="44"/>
      <c r="K75" s="44"/>
      <c r="L75" s="44"/>
      <c r="M75" s="44"/>
      <c r="N75" s="52"/>
      <c r="O75" s="52"/>
      <c r="P75" s="53">
        <v>44916</v>
      </c>
      <c r="Q75" s="58">
        <v>0</v>
      </c>
      <c r="R75" s="44"/>
      <c r="S75" s="53">
        <v>44916</v>
      </c>
      <c r="T75" s="58">
        <f t="shared" si="9"/>
        <v>7.0000000000000007E-2</v>
      </c>
      <c r="U75" s="58">
        <f t="shared" ref="U75:U82" si="10">T75-Q75</f>
        <v>7.0000000000000007E-2</v>
      </c>
      <c r="V75" s="44"/>
      <c r="W75" s="44"/>
      <c r="X75" s="44"/>
      <c r="Y75" s="44"/>
      <c r="Z75" s="44"/>
      <c r="AA75" s="44"/>
      <c r="AB75" s="44"/>
    </row>
    <row r="76" spans="1:28" s="35" customFormat="1">
      <c r="A76" s="44"/>
      <c r="B76" s="44"/>
      <c r="C76" s="44"/>
      <c r="D76" s="44"/>
      <c r="E76" s="44"/>
      <c r="F76" s="44"/>
      <c r="G76" s="44"/>
      <c r="H76" s="44"/>
      <c r="I76" s="44"/>
      <c r="J76" s="44"/>
      <c r="K76" s="44"/>
      <c r="L76" s="44"/>
      <c r="M76" s="44"/>
      <c r="N76" s="52"/>
      <c r="O76" s="52"/>
      <c r="P76" s="53">
        <v>44929</v>
      </c>
      <c r="Q76" s="58">
        <v>0.03</v>
      </c>
      <c r="R76" s="44"/>
      <c r="S76" s="53">
        <v>44929</v>
      </c>
      <c r="T76" s="58">
        <f t="shared" si="9"/>
        <v>0.06</v>
      </c>
      <c r="U76" s="58">
        <f t="shared" si="10"/>
        <v>0.03</v>
      </c>
      <c r="V76" s="44"/>
      <c r="W76" s="44"/>
      <c r="X76" s="44"/>
      <c r="Y76" s="44"/>
      <c r="Z76" s="44"/>
      <c r="AA76" s="44"/>
      <c r="AB76" s="44"/>
    </row>
    <row r="77" spans="1:28" s="35" customFormat="1">
      <c r="A77" s="44"/>
      <c r="B77" s="44"/>
      <c r="C77" s="44"/>
      <c r="D77" s="44"/>
      <c r="E77" s="44"/>
      <c r="F77" s="44"/>
      <c r="G77" s="44"/>
      <c r="H77" s="44"/>
      <c r="I77" s="44"/>
      <c r="J77" s="44"/>
      <c r="K77" s="44"/>
      <c r="L77" s="44"/>
      <c r="M77" s="44"/>
      <c r="N77" s="52"/>
      <c r="O77" s="52"/>
      <c r="P77" s="53">
        <v>44937</v>
      </c>
      <c r="Q77" s="58">
        <v>0</v>
      </c>
      <c r="R77" s="44"/>
      <c r="S77" s="53">
        <v>44937</v>
      </c>
      <c r="T77" s="58">
        <f t="shared" si="9"/>
        <v>0.04</v>
      </c>
      <c r="U77" s="58">
        <f t="shared" si="10"/>
        <v>0.04</v>
      </c>
      <c r="V77" s="44"/>
      <c r="W77" s="44"/>
      <c r="X77" s="44"/>
      <c r="Y77" s="44"/>
      <c r="Z77" s="44"/>
      <c r="AA77" s="44"/>
      <c r="AB77" s="44"/>
    </row>
    <row r="78" spans="1:28" s="35" customFormat="1">
      <c r="A78" s="44"/>
      <c r="B78" s="44"/>
      <c r="C78" s="44"/>
      <c r="D78" s="44"/>
      <c r="E78" s="44"/>
      <c r="F78" s="44"/>
      <c r="G78" s="44"/>
      <c r="H78" s="44"/>
      <c r="I78" s="44"/>
      <c r="J78" s="44"/>
      <c r="K78" s="44"/>
      <c r="L78" s="44"/>
      <c r="M78" s="44"/>
      <c r="N78" s="52"/>
      <c r="O78" s="52"/>
      <c r="P78" s="53">
        <v>45005</v>
      </c>
      <c r="Q78" s="58">
        <v>0.23</v>
      </c>
      <c r="R78" s="44"/>
      <c r="S78" s="53">
        <v>45005</v>
      </c>
      <c r="T78" s="58">
        <f t="shared" si="9"/>
        <v>0.33</v>
      </c>
      <c r="U78" s="58">
        <f t="shared" si="10"/>
        <v>0.1</v>
      </c>
      <c r="V78" s="44"/>
      <c r="W78" s="44"/>
      <c r="X78" s="44"/>
      <c r="Y78" s="44"/>
      <c r="Z78" s="44"/>
      <c r="AA78" s="44"/>
      <c r="AB78" s="44"/>
    </row>
    <row r="79" spans="1:28" s="35" customFormat="1">
      <c r="A79" s="44"/>
      <c r="B79" s="44"/>
      <c r="C79" s="44"/>
      <c r="D79" s="44"/>
      <c r="E79" s="44"/>
      <c r="F79" s="44"/>
      <c r="G79" s="44"/>
      <c r="H79" s="44"/>
      <c r="I79" s="44"/>
      <c r="J79" s="44"/>
      <c r="K79" s="44"/>
      <c r="L79" s="44"/>
      <c r="M79" s="44"/>
      <c r="N79" s="52"/>
      <c r="O79" s="52"/>
      <c r="P79" s="53">
        <v>45006</v>
      </c>
      <c r="Q79" s="58">
        <v>0.01</v>
      </c>
      <c r="R79" s="44"/>
      <c r="S79" s="53">
        <v>45006</v>
      </c>
      <c r="T79" s="58">
        <f t="shared" si="9"/>
        <v>0</v>
      </c>
      <c r="U79" s="58">
        <f t="shared" si="10"/>
        <v>-0.01</v>
      </c>
      <c r="V79" s="44"/>
      <c r="W79" s="44"/>
      <c r="X79" s="44"/>
      <c r="Y79" s="44"/>
      <c r="Z79" s="44"/>
      <c r="AA79" s="44"/>
      <c r="AB79" s="44"/>
    </row>
    <row r="80" spans="1:28" s="35" customFormat="1">
      <c r="A80" s="44"/>
      <c r="B80" s="44"/>
      <c r="C80" s="44"/>
      <c r="D80" s="44"/>
      <c r="E80" s="44"/>
      <c r="F80" s="44"/>
      <c r="G80" s="44"/>
      <c r="H80" s="44"/>
      <c r="I80" s="44"/>
      <c r="J80" s="44"/>
      <c r="K80" s="44"/>
      <c r="L80" s="44"/>
      <c r="M80" s="44"/>
      <c r="N80" s="52"/>
      <c r="O80" s="52"/>
      <c r="P80" s="53">
        <v>45037</v>
      </c>
      <c r="Q80" s="58">
        <v>0.36</v>
      </c>
      <c r="R80" s="44"/>
      <c r="S80" s="53">
        <v>45037</v>
      </c>
      <c r="T80" s="58">
        <f t="shared" si="9"/>
        <v>0.15</v>
      </c>
      <c r="U80" s="58">
        <f t="shared" si="10"/>
        <v>-0.21</v>
      </c>
      <c r="V80" s="44"/>
      <c r="W80" s="44"/>
      <c r="X80" s="44"/>
      <c r="Y80" s="44"/>
      <c r="Z80" s="44"/>
      <c r="AA80" s="44"/>
      <c r="AB80" s="44"/>
    </row>
    <row r="81" spans="1:28" s="35" customFormat="1">
      <c r="A81" s="44"/>
      <c r="B81" s="44"/>
      <c r="C81" s="44"/>
      <c r="D81" s="44"/>
      <c r="E81" s="44"/>
      <c r="F81" s="44"/>
      <c r="G81" s="44"/>
      <c r="H81" s="44"/>
      <c r="I81" s="44"/>
      <c r="J81" s="44"/>
      <c r="K81" s="44"/>
      <c r="L81" s="44"/>
      <c r="M81" s="44"/>
      <c r="N81" s="52"/>
      <c r="O81" s="52"/>
      <c r="P81" s="53">
        <v>45067</v>
      </c>
      <c r="Q81" s="58">
        <v>0.35</v>
      </c>
      <c r="R81" s="44"/>
      <c r="S81" s="53">
        <v>45067</v>
      </c>
      <c r="T81" s="58">
        <f t="shared" si="9"/>
        <v>0.15</v>
      </c>
      <c r="U81" s="58">
        <f t="shared" si="10"/>
        <v>-0.2</v>
      </c>
      <c r="V81" s="44"/>
      <c r="W81" s="44"/>
      <c r="X81" s="44"/>
      <c r="Y81" s="44"/>
      <c r="Z81" s="44"/>
      <c r="AA81" s="44"/>
      <c r="AB81" s="44"/>
    </row>
    <row r="82" spans="1:28" s="35" customFormat="1">
      <c r="A82" s="44"/>
      <c r="B82" s="44"/>
      <c r="C82" s="44"/>
      <c r="D82" s="44"/>
      <c r="E82" s="44"/>
      <c r="F82" s="44"/>
      <c r="G82" s="44"/>
      <c r="H82" s="44"/>
      <c r="I82" s="44"/>
      <c r="J82" s="44"/>
      <c r="K82" s="44"/>
      <c r="L82" s="44"/>
      <c r="M82" s="44"/>
      <c r="N82" s="52"/>
      <c r="O82" s="52"/>
      <c r="P82" s="53">
        <v>45098</v>
      </c>
      <c r="Q82" s="58">
        <v>0.36</v>
      </c>
      <c r="R82" s="44"/>
      <c r="S82" s="53">
        <v>45098</v>
      </c>
      <c r="T82" s="58">
        <f t="shared" si="9"/>
        <v>0.15</v>
      </c>
      <c r="U82" s="58">
        <f t="shared" si="10"/>
        <v>-0.21</v>
      </c>
      <c r="V82" s="44"/>
      <c r="W82" s="44"/>
      <c r="X82" s="44"/>
      <c r="Y82" s="44"/>
      <c r="Z82" s="44"/>
      <c r="AA82" s="44"/>
      <c r="AB82" s="44"/>
    </row>
    <row r="83" spans="1:28" s="35" customFormat="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四川诺乐电动科技有限公司</v>
      </c>
      <c r="C93" s="43" t="str">
        <f t="shared" ref="C93:G93" si="11">C71</f>
        <v>郫都区市场监督管理局</v>
      </c>
      <c r="D93" s="43" t="str">
        <f t="shared" si="11"/>
        <v>91510124MA61R3PC1B</v>
      </c>
      <c r="E93" s="43" t="str">
        <f t="shared" si="11"/>
        <v>有限责任公司</v>
      </c>
      <c r="F93" s="43" t="str">
        <f t="shared" si="11"/>
        <v>郫都区税务局</v>
      </c>
      <c r="G93" s="43" t="str">
        <f t="shared" si="11"/>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103.82</v>
      </c>
      <c r="L115" s="43"/>
      <c r="M115" s="43"/>
      <c r="N115" s="50"/>
      <c r="O115" s="50"/>
      <c r="P115" s="43"/>
      <c r="Q115" s="43"/>
      <c r="R115" s="43"/>
      <c r="S115" s="43"/>
      <c r="T115" s="43"/>
      <c r="U115" s="43"/>
      <c r="V115" s="43"/>
      <c r="W115" s="43"/>
      <c r="X115" s="43"/>
      <c r="Y115" s="43">
        <f>Y93+Y71+Y49+Y27++Y4</f>
        <v>0.38</v>
      </c>
      <c r="Z115" s="43"/>
      <c r="AA115" s="43"/>
      <c r="AB115" s="43"/>
    </row>
    <row r="116" spans="1:28">
      <c r="I116" s="36" t="s">
        <v>49</v>
      </c>
      <c r="K116" s="36">
        <f>IF(K115&gt;3000,K117,K115)</f>
        <v>103.82</v>
      </c>
    </row>
    <row r="117" spans="1:28" hidden="1">
      <c r="K117" s="36">
        <f>IF(K116&gt;3000,K118,K116)</f>
        <v>103.82</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drawing r:id="rId1"/>
  <legacyDrawing r:id="rId2"/>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AC117"/>
  <sheetViews>
    <sheetView topLeftCell="B1" zoomScale="60" zoomScaleNormal="60" workbookViewId="0">
      <pane ySplit="3" topLeftCell="A4" activePane="bottomLeft" state="frozen"/>
      <selection pane="bottomLeft" activeCell="J5" sqref="J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成都深冷科技有限公司审计明细表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651</v>
      </c>
      <c r="C4" s="43" t="s">
        <v>1452</v>
      </c>
      <c r="D4" s="43" t="s">
        <v>1467</v>
      </c>
      <c r="E4" s="43" t="s">
        <v>146</v>
      </c>
      <c r="F4" s="43" t="s">
        <v>1454</v>
      </c>
      <c r="G4" s="43" t="s">
        <v>1229</v>
      </c>
      <c r="H4" s="43" t="s">
        <v>958</v>
      </c>
      <c r="I4" s="43" t="s">
        <v>1468</v>
      </c>
      <c r="J4" s="43" t="s">
        <v>294</v>
      </c>
      <c r="K4" s="43">
        <v>100</v>
      </c>
      <c r="L4" s="43" t="s">
        <v>1469</v>
      </c>
      <c r="M4" s="49" t="s">
        <v>1470</v>
      </c>
      <c r="N4" s="65">
        <v>44937</v>
      </c>
      <c r="O4" s="65">
        <v>45291</v>
      </c>
      <c r="P4" s="43">
        <f>P17-N4</f>
        <v>374</v>
      </c>
      <c r="Q4" s="55">
        <f>SUM(Q5:Q26)</f>
        <v>4.0999999999999996</v>
      </c>
      <c r="R4" s="55">
        <v>0.97</v>
      </c>
      <c r="S4" s="43"/>
      <c r="T4" s="55">
        <f>SUM(T5:T26)</f>
        <v>4.1100000000000003</v>
      </c>
      <c r="U4" s="56">
        <v>0.04</v>
      </c>
      <c r="V4" s="50"/>
      <c r="W4" s="43" t="s">
        <v>42</v>
      </c>
      <c r="X4" s="57">
        <v>0.01</v>
      </c>
      <c r="Y4" s="43">
        <f>ROUNDDOWN(IF((O4-N4+1)*K4*X4/365&gt;R4,R4,(O4-N4+1)*K4*X4/365),2)</f>
        <v>0.97</v>
      </c>
      <c r="Z4" s="55">
        <f>R4-Y4</f>
        <v>0</v>
      </c>
      <c r="AA4" s="55"/>
      <c r="AB4" s="43" t="s">
        <v>61</v>
      </c>
    </row>
    <row r="5" spans="1:29" s="35" customFormat="1">
      <c r="A5" s="44"/>
      <c r="B5" s="44"/>
      <c r="C5" s="44"/>
      <c r="D5" s="44"/>
      <c r="E5" s="44"/>
      <c r="F5" s="44"/>
      <c r="G5" s="44"/>
      <c r="H5" s="44"/>
      <c r="I5" s="44"/>
      <c r="J5" s="44"/>
      <c r="K5" s="44"/>
      <c r="L5" s="44"/>
      <c r="M5" s="63"/>
      <c r="N5" s="52"/>
      <c r="O5" s="65">
        <v>45667</v>
      </c>
      <c r="P5" s="53">
        <v>44946</v>
      </c>
      <c r="Q5" s="58">
        <v>0.1</v>
      </c>
      <c r="R5" s="44"/>
      <c r="S5" s="53">
        <v>44946</v>
      </c>
      <c r="T5" s="58">
        <f>(S5-N4)/360*$U$4*$K$4</f>
        <v>0.1</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0.34</v>
      </c>
      <c r="R6" s="44"/>
      <c r="S6" s="53">
        <v>44977</v>
      </c>
      <c r="T6" s="58">
        <f>(S6-S5)/360*$U$4*$K$4</f>
        <v>0.34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45005</v>
      </c>
      <c r="Q7" s="58">
        <v>0.31</v>
      </c>
      <c r="R7" s="44"/>
      <c r="S7" s="53">
        <v>45005</v>
      </c>
      <c r="T7" s="58">
        <f>(S7-S6)*$K$4*$U$4/360</f>
        <v>0.31</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0.34</v>
      </c>
      <c r="R8" s="44"/>
      <c r="S8" s="53">
        <v>45036</v>
      </c>
      <c r="T8" s="58">
        <f t="shared" ref="T8:T17" si="0">(S8-S7)*$K$4*$U$4/360</f>
        <v>0.34</v>
      </c>
      <c r="U8" s="58">
        <f t="shared" ref="U8:U17"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0.33</v>
      </c>
      <c r="R9" s="44"/>
      <c r="S9" s="53">
        <v>45066</v>
      </c>
      <c r="T9" s="58">
        <f t="shared" si="0"/>
        <v>0.33</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0.34</v>
      </c>
      <c r="R10" s="44"/>
      <c r="S10" s="53">
        <v>45097</v>
      </c>
      <c r="T10" s="58">
        <f t="shared" si="0"/>
        <v>0.34</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0.33</v>
      </c>
      <c r="R11" s="44"/>
      <c r="S11" s="53">
        <v>45127</v>
      </c>
      <c r="T11" s="58">
        <f t="shared" si="0"/>
        <v>0.33</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0.34</v>
      </c>
      <c r="R12" s="44"/>
      <c r="S12" s="53">
        <v>45158</v>
      </c>
      <c r="T12" s="58">
        <f t="shared" si="0"/>
        <v>0.34</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0.34</v>
      </c>
      <c r="R13" s="44"/>
      <c r="S13" s="53">
        <v>45189</v>
      </c>
      <c r="T13" s="58">
        <f t="shared" si="0"/>
        <v>0.34</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0.33</v>
      </c>
      <c r="R14" s="44"/>
      <c r="S14" s="53">
        <v>45219</v>
      </c>
      <c r="T14" s="58">
        <f t="shared" si="0"/>
        <v>0.33</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0.34</v>
      </c>
      <c r="R15" s="44"/>
      <c r="S15" s="53">
        <v>45250</v>
      </c>
      <c r="T15" s="58">
        <f t="shared" si="0"/>
        <v>0.34</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45280</v>
      </c>
      <c r="Q16" s="58">
        <v>0.33</v>
      </c>
      <c r="R16" s="44"/>
      <c r="S16" s="53">
        <v>45280</v>
      </c>
      <c r="T16" s="58">
        <f t="shared" si="0"/>
        <v>0.33</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45311</v>
      </c>
      <c r="Q17" s="58">
        <v>0.33</v>
      </c>
      <c r="R17" s="44"/>
      <c r="S17" s="53">
        <v>45311</v>
      </c>
      <c r="T17" s="58">
        <f t="shared" si="0"/>
        <v>0.34</v>
      </c>
      <c r="U17" s="58">
        <f t="shared" si="1"/>
        <v>0.01</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成都深冷科技有限公司</v>
      </c>
      <c r="C27" s="43" t="str">
        <f t="shared" ref="C27:G27" si="2">C4</f>
        <v>郫都区市场监督管理局</v>
      </c>
      <c r="D27" s="43" t="str">
        <f t="shared" si="2"/>
        <v>91510124564455174K</v>
      </c>
      <c r="E27" s="43" t="str">
        <f t="shared" si="2"/>
        <v>有限责任公司</v>
      </c>
      <c r="F27" s="43" t="str">
        <f t="shared" si="2"/>
        <v>郫都区税务局</v>
      </c>
      <c r="G27" s="43" t="str">
        <f t="shared" si="2"/>
        <v>收款账号：511610018010210321008
开户行：交通银行成都双流棠湖支行</v>
      </c>
      <c r="H27" s="43" t="s">
        <v>71</v>
      </c>
      <c r="I27" s="43" t="s">
        <v>1468</v>
      </c>
      <c r="J27" s="43" t="s">
        <v>294</v>
      </c>
      <c r="K27" s="43">
        <v>400</v>
      </c>
      <c r="L27" s="43" t="s">
        <v>1469</v>
      </c>
      <c r="M27" s="49" t="s">
        <v>1471</v>
      </c>
      <c r="N27" s="83">
        <v>44985</v>
      </c>
      <c r="O27" s="83">
        <v>45291</v>
      </c>
      <c r="P27" s="43">
        <f>P38-N27</f>
        <v>326</v>
      </c>
      <c r="Q27" s="55">
        <f>SUM(Q28:Q38)</f>
        <v>14.32</v>
      </c>
      <c r="R27" s="66">
        <v>5.03</v>
      </c>
      <c r="S27" s="43"/>
      <c r="T27" s="55">
        <f>SUM(T28:T38)</f>
        <v>14.49</v>
      </c>
      <c r="U27" s="56">
        <v>0.04</v>
      </c>
      <c r="V27" s="50"/>
      <c r="W27" s="43" t="s">
        <v>42</v>
      </c>
      <c r="X27" s="57">
        <v>1.4999999999999999E-2</v>
      </c>
      <c r="Y27" s="43">
        <f>ROUNDDOWN(IF((O27-N27+1)*K27*X27/365&gt;R27,R27,(O27-N27+1)*K27*X27/365),2)</f>
        <v>5.03</v>
      </c>
      <c r="Z27" s="55">
        <f>R27-Y27</f>
        <v>0</v>
      </c>
      <c r="AA27" s="55"/>
      <c r="AB27" s="43" t="s">
        <v>61</v>
      </c>
    </row>
    <row r="28" spans="1:28" s="35" customFormat="1">
      <c r="A28" s="44"/>
      <c r="B28" s="44"/>
      <c r="C28" s="44"/>
      <c r="D28" s="44"/>
      <c r="E28" s="44"/>
      <c r="F28" s="44"/>
      <c r="G28" s="44"/>
      <c r="H28" s="44"/>
      <c r="I28" s="44"/>
      <c r="J28" s="44"/>
      <c r="K28" s="44"/>
      <c r="L28" s="44"/>
      <c r="M28" s="44"/>
      <c r="N28" s="52"/>
      <c r="O28" s="83">
        <v>45715</v>
      </c>
      <c r="P28" s="53">
        <v>45005</v>
      </c>
      <c r="Q28" s="58">
        <v>0.89</v>
      </c>
      <c r="R28" s="44"/>
      <c r="S28" s="53">
        <v>45005</v>
      </c>
      <c r="T28" s="58">
        <f>(S28-N27)/360*$U$27*$K$27</f>
        <v>0.89</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45036</v>
      </c>
      <c r="Q29" s="58">
        <v>1.38</v>
      </c>
      <c r="R29" s="44"/>
      <c r="S29" s="53">
        <v>45036</v>
      </c>
      <c r="T29" s="58">
        <f>(S29-S28)/360*$U$27*$K$27</f>
        <v>1.38</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45066</v>
      </c>
      <c r="Q30" s="58">
        <v>1.33</v>
      </c>
      <c r="R30" s="44"/>
      <c r="S30" s="53">
        <v>45066</v>
      </c>
      <c r="T30" s="58">
        <f t="shared" ref="T30:T38" si="3">(S30-S29)/360*$U$27*$K$27</f>
        <v>1.33</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45097</v>
      </c>
      <c r="Q31" s="58">
        <v>1.38</v>
      </c>
      <c r="R31" s="44"/>
      <c r="S31" s="53">
        <v>45097</v>
      </c>
      <c r="T31" s="58">
        <f t="shared" si="3"/>
        <v>1.38</v>
      </c>
      <c r="U31" s="58">
        <f t="shared" ref="U31:U38"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45127</v>
      </c>
      <c r="Q32" s="58">
        <v>1.33</v>
      </c>
      <c r="R32" s="44"/>
      <c r="S32" s="53">
        <v>45127</v>
      </c>
      <c r="T32" s="58">
        <f t="shared" si="3"/>
        <v>1.33</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45158</v>
      </c>
      <c r="Q33" s="58">
        <v>1.38</v>
      </c>
      <c r="R33" s="44"/>
      <c r="S33" s="53">
        <v>45158</v>
      </c>
      <c r="T33" s="58">
        <f t="shared" si="3"/>
        <v>1.38</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45189</v>
      </c>
      <c r="Q34" s="58">
        <v>1.35</v>
      </c>
      <c r="R34" s="44"/>
      <c r="S34" s="53">
        <v>45189</v>
      </c>
      <c r="T34" s="58">
        <f t="shared" si="3"/>
        <v>1.38</v>
      </c>
      <c r="U34" s="58">
        <f t="shared" si="4"/>
        <v>0.03</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45219</v>
      </c>
      <c r="Q35" s="58">
        <v>1.3</v>
      </c>
      <c r="R35" s="44"/>
      <c r="S35" s="53">
        <v>45219</v>
      </c>
      <c r="T35" s="58">
        <f t="shared" si="3"/>
        <v>1.33</v>
      </c>
      <c r="U35" s="58">
        <f t="shared" si="4"/>
        <v>0.03</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45250</v>
      </c>
      <c r="Q36" s="58">
        <v>1.34</v>
      </c>
      <c r="R36" s="44"/>
      <c r="S36" s="53">
        <v>45250</v>
      </c>
      <c r="T36" s="58">
        <f t="shared" si="3"/>
        <v>1.38</v>
      </c>
      <c r="U36" s="58">
        <f t="shared" si="4"/>
        <v>0.04</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45280</v>
      </c>
      <c r="Q37" s="58">
        <v>1.3</v>
      </c>
      <c r="R37" s="44"/>
      <c r="S37" s="53">
        <v>45280</v>
      </c>
      <c r="T37" s="58">
        <f t="shared" si="3"/>
        <v>1.33</v>
      </c>
      <c r="U37" s="58">
        <f t="shared" si="4"/>
        <v>0.03</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45311</v>
      </c>
      <c r="Q38" s="58">
        <v>1.34</v>
      </c>
      <c r="R38" s="44"/>
      <c r="S38" s="53">
        <v>45311</v>
      </c>
      <c r="T38" s="58">
        <f t="shared" si="3"/>
        <v>1.38</v>
      </c>
      <c r="U38" s="58">
        <f t="shared" si="4"/>
        <v>0.04</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c r="A49" s="43">
        <v>3</v>
      </c>
      <c r="B49" s="43" t="str">
        <f>B27</f>
        <v>成都深冷科技有限公司</v>
      </c>
      <c r="C49" s="43" t="str">
        <f t="shared" ref="C49:G49" si="5">C27</f>
        <v>郫都区市场监督管理局</v>
      </c>
      <c r="D49" s="43" t="str">
        <f t="shared" si="5"/>
        <v>91510124564455174K</v>
      </c>
      <c r="E49" s="43" t="str">
        <f t="shared" si="5"/>
        <v>有限责任公司</v>
      </c>
      <c r="F49" s="43" t="str">
        <f t="shared" si="5"/>
        <v>郫都区税务局</v>
      </c>
      <c r="G49" s="43" t="str">
        <f t="shared" si="5"/>
        <v>收款账号：511610018010210321008
开户行：交通银行成都双流棠湖支行</v>
      </c>
      <c r="H49" s="43" t="s">
        <v>71</v>
      </c>
      <c r="I49" s="43" t="s">
        <v>1468</v>
      </c>
      <c r="J49" s="43" t="s">
        <v>294</v>
      </c>
      <c r="K49" s="43">
        <v>500</v>
      </c>
      <c r="L49" s="43" t="s">
        <v>1472</v>
      </c>
      <c r="M49" s="49" t="s">
        <v>1473</v>
      </c>
      <c r="N49" s="83">
        <v>45002</v>
      </c>
      <c r="O49" s="83">
        <v>45291</v>
      </c>
      <c r="P49" s="43">
        <f>P60-N49</f>
        <v>309</v>
      </c>
      <c r="Q49" s="55">
        <f>SUM(Q50:Q70)</f>
        <v>17.05</v>
      </c>
      <c r="R49" s="66">
        <v>5.94</v>
      </c>
      <c r="S49" s="43"/>
      <c r="T49" s="55">
        <f>SUM(T50:T70)</f>
        <v>17.170000000000002</v>
      </c>
      <c r="U49" s="56">
        <v>0.04</v>
      </c>
      <c r="V49" s="50"/>
      <c r="W49" s="43" t="s">
        <v>42</v>
      </c>
      <c r="X49" s="57">
        <v>1.4999999999999999E-2</v>
      </c>
      <c r="Y49" s="43">
        <f>ROUNDDOWN(IF((O49-N49+1)*K49*X49/365&gt;R49,R49,(O49-N49+1)*K49*X49/365),2)</f>
        <v>5.94</v>
      </c>
      <c r="Z49" s="55">
        <f>R49-Y49</f>
        <v>0</v>
      </c>
      <c r="AA49" s="55"/>
      <c r="AB49" s="43" t="s">
        <v>61</v>
      </c>
    </row>
    <row r="50" spans="1:28" s="35" customFormat="1">
      <c r="A50" s="44"/>
      <c r="B50" s="44"/>
      <c r="C50" s="44"/>
      <c r="D50" s="44"/>
      <c r="E50" s="44"/>
      <c r="F50" s="44"/>
      <c r="G50" s="44"/>
      <c r="H50" s="44"/>
      <c r="I50" s="44"/>
      <c r="J50" s="44"/>
      <c r="K50" s="44"/>
      <c r="L50" s="44"/>
      <c r="M50" s="44"/>
      <c r="N50" s="52"/>
      <c r="O50" s="83">
        <v>45732</v>
      </c>
      <c r="P50" s="53">
        <v>45005</v>
      </c>
      <c r="Q50" s="58">
        <v>0.17</v>
      </c>
      <c r="R50" s="44"/>
      <c r="S50" s="53">
        <v>45005</v>
      </c>
      <c r="T50" s="58">
        <f>(S50-N49)/360*$U$49*$K$49</f>
        <v>0.17</v>
      </c>
      <c r="U50" s="58">
        <f>T50-Q50</f>
        <v>0</v>
      </c>
      <c r="V50" s="52"/>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v>45036</v>
      </c>
      <c r="Q51" s="58">
        <v>1.72</v>
      </c>
      <c r="R51" s="44"/>
      <c r="S51" s="53">
        <v>45036</v>
      </c>
      <c r="T51" s="58">
        <f>(S51-S50)/360*$U$49*$K$49</f>
        <v>1.72</v>
      </c>
      <c r="U51" s="58">
        <f>T51-Q51</f>
        <v>0</v>
      </c>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v>45066</v>
      </c>
      <c r="Q52" s="58">
        <v>1.67</v>
      </c>
      <c r="R52" s="44"/>
      <c r="S52" s="53">
        <v>45066</v>
      </c>
      <c r="T52" s="58">
        <f t="shared" ref="T52:T60" si="6">(S52-S51)/360*$U$49*$K$49</f>
        <v>1.67</v>
      </c>
      <c r="U52" s="58">
        <f>T52-Q52</f>
        <v>0</v>
      </c>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v>45097</v>
      </c>
      <c r="Q53" s="58">
        <v>1.72</v>
      </c>
      <c r="R53" s="44"/>
      <c r="S53" s="53">
        <v>45097</v>
      </c>
      <c r="T53" s="58">
        <f t="shared" si="6"/>
        <v>1.72</v>
      </c>
      <c r="U53" s="58">
        <f t="shared" ref="U53:U60" si="7">T53-Q53</f>
        <v>0</v>
      </c>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v>45127</v>
      </c>
      <c r="Q54" s="58">
        <v>1.67</v>
      </c>
      <c r="R54" s="44"/>
      <c r="S54" s="53">
        <v>45127</v>
      </c>
      <c r="T54" s="58">
        <f t="shared" si="6"/>
        <v>1.67</v>
      </c>
      <c r="U54" s="58">
        <f t="shared" si="7"/>
        <v>0</v>
      </c>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v>45158</v>
      </c>
      <c r="Q55" s="58">
        <v>1.72</v>
      </c>
      <c r="R55" s="44"/>
      <c r="S55" s="53">
        <v>45158</v>
      </c>
      <c r="T55" s="58">
        <f t="shared" si="6"/>
        <v>1.72</v>
      </c>
      <c r="U55" s="58">
        <f t="shared" si="7"/>
        <v>0</v>
      </c>
      <c r="V55" s="44"/>
      <c r="W55" s="44"/>
      <c r="X55" s="44"/>
      <c r="Y55" s="44"/>
      <c r="Z55" s="44"/>
      <c r="AA55" s="44"/>
      <c r="AB55" s="44"/>
    </row>
    <row r="56" spans="1:28" s="35" customFormat="1">
      <c r="A56" s="44"/>
      <c r="B56" s="44"/>
      <c r="C56" s="44"/>
      <c r="D56" s="44"/>
      <c r="E56" s="44"/>
      <c r="F56" s="44"/>
      <c r="G56" s="44"/>
      <c r="H56" s="44"/>
      <c r="I56" s="44"/>
      <c r="J56" s="44"/>
      <c r="K56" s="44"/>
      <c r="L56" s="44"/>
      <c r="M56" s="44"/>
      <c r="N56" s="52"/>
      <c r="O56" s="52"/>
      <c r="P56" s="53">
        <v>45189</v>
      </c>
      <c r="Q56" s="58">
        <v>1.72</v>
      </c>
      <c r="R56" s="44"/>
      <c r="S56" s="53">
        <v>45189</v>
      </c>
      <c r="T56" s="58">
        <f t="shared" si="6"/>
        <v>1.72</v>
      </c>
      <c r="U56" s="58">
        <f t="shared" si="7"/>
        <v>0</v>
      </c>
      <c r="V56" s="44"/>
      <c r="W56" s="44"/>
      <c r="X56" s="44"/>
      <c r="Y56" s="44"/>
      <c r="Z56" s="44"/>
      <c r="AA56" s="44"/>
      <c r="AB56" s="44"/>
    </row>
    <row r="57" spans="1:28" s="35" customFormat="1">
      <c r="A57" s="44"/>
      <c r="B57" s="44"/>
      <c r="C57" s="44"/>
      <c r="D57" s="44"/>
      <c r="E57" s="44"/>
      <c r="F57" s="44"/>
      <c r="G57" s="44"/>
      <c r="H57" s="44"/>
      <c r="I57" s="44"/>
      <c r="J57" s="44"/>
      <c r="K57" s="44"/>
      <c r="L57" s="44"/>
      <c r="M57" s="44"/>
      <c r="N57" s="52"/>
      <c r="O57" s="52"/>
      <c r="P57" s="53">
        <v>45219</v>
      </c>
      <c r="Q57" s="58">
        <v>1.63</v>
      </c>
      <c r="R57" s="44"/>
      <c r="S57" s="53">
        <v>45219</v>
      </c>
      <c r="T57" s="58">
        <f t="shared" si="6"/>
        <v>1.67</v>
      </c>
      <c r="U57" s="58">
        <f t="shared" si="7"/>
        <v>0.04</v>
      </c>
      <c r="V57" s="44"/>
      <c r="W57" s="44"/>
      <c r="X57" s="44"/>
      <c r="Y57" s="44"/>
      <c r="Z57" s="44"/>
      <c r="AA57" s="44"/>
      <c r="AB57" s="44"/>
    </row>
    <row r="58" spans="1:28" s="35" customFormat="1">
      <c r="A58" s="44"/>
      <c r="B58" s="44"/>
      <c r="C58" s="44"/>
      <c r="D58" s="44"/>
      <c r="E58" s="44"/>
      <c r="F58" s="44"/>
      <c r="G58" s="44"/>
      <c r="H58" s="44"/>
      <c r="I58" s="44"/>
      <c r="J58" s="44"/>
      <c r="K58" s="44"/>
      <c r="L58" s="44"/>
      <c r="M58" s="44"/>
      <c r="N58" s="52"/>
      <c r="O58" s="52"/>
      <c r="P58" s="53">
        <v>45250</v>
      </c>
      <c r="Q58" s="58">
        <v>1.72</v>
      </c>
      <c r="R58" s="44"/>
      <c r="S58" s="53">
        <v>45250</v>
      </c>
      <c r="T58" s="58">
        <f t="shared" si="6"/>
        <v>1.72</v>
      </c>
      <c r="U58" s="58">
        <f t="shared" si="7"/>
        <v>0</v>
      </c>
      <c r="V58" s="44"/>
      <c r="W58" s="44"/>
      <c r="X58" s="44"/>
      <c r="Y58" s="44"/>
      <c r="Z58" s="44"/>
      <c r="AA58" s="44"/>
      <c r="AB58" s="44"/>
    </row>
    <row r="59" spans="1:28" s="35" customFormat="1">
      <c r="A59" s="44"/>
      <c r="B59" s="44"/>
      <c r="C59" s="44"/>
      <c r="D59" s="44"/>
      <c r="E59" s="44"/>
      <c r="F59" s="44"/>
      <c r="G59" s="44"/>
      <c r="H59" s="44"/>
      <c r="I59" s="44"/>
      <c r="J59" s="44"/>
      <c r="K59" s="44"/>
      <c r="L59" s="44"/>
      <c r="M59" s="44"/>
      <c r="N59" s="52"/>
      <c r="O59" s="52"/>
      <c r="P59" s="53">
        <v>45280</v>
      </c>
      <c r="Q59" s="58">
        <v>1.63</v>
      </c>
      <c r="R59" s="44"/>
      <c r="S59" s="53">
        <v>45280</v>
      </c>
      <c r="T59" s="58">
        <f t="shared" si="6"/>
        <v>1.67</v>
      </c>
      <c r="U59" s="58">
        <f t="shared" si="7"/>
        <v>0.04</v>
      </c>
      <c r="V59" s="44"/>
      <c r="W59" s="44"/>
      <c r="X59" s="44"/>
      <c r="Y59" s="44"/>
      <c r="Z59" s="44"/>
      <c r="AA59" s="44"/>
      <c r="AB59" s="44"/>
    </row>
    <row r="60" spans="1:28" s="35" customFormat="1">
      <c r="A60" s="44"/>
      <c r="B60" s="44"/>
      <c r="C60" s="44"/>
      <c r="D60" s="44"/>
      <c r="E60" s="44"/>
      <c r="F60" s="44"/>
      <c r="G60" s="44"/>
      <c r="H60" s="44"/>
      <c r="I60" s="44"/>
      <c r="J60" s="44"/>
      <c r="K60" s="44"/>
      <c r="L60" s="44"/>
      <c r="M60" s="44"/>
      <c r="N60" s="52"/>
      <c r="O60" s="52"/>
      <c r="P60" s="53">
        <v>45311</v>
      </c>
      <c r="Q60" s="58">
        <v>1.68</v>
      </c>
      <c r="R60" s="44"/>
      <c r="S60" s="53">
        <v>45311</v>
      </c>
      <c r="T60" s="58">
        <f t="shared" si="6"/>
        <v>1.72</v>
      </c>
      <c r="U60" s="58">
        <f t="shared" si="7"/>
        <v>0.04</v>
      </c>
      <c r="V60" s="44"/>
      <c r="W60" s="44"/>
      <c r="X60" s="44"/>
      <c r="Y60" s="44"/>
      <c r="Z60" s="44"/>
      <c r="AA60" s="44"/>
      <c r="AB60" s="44"/>
    </row>
    <row r="61" spans="1:28" s="35" customFormat="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成都深冷科技有限公司</v>
      </c>
      <c r="C71" s="43" t="str">
        <f t="shared" ref="C71:G71" si="8">C49</f>
        <v>郫都区市场监督管理局</v>
      </c>
      <c r="D71" s="43" t="str">
        <f t="shared" si="8"/>
        <v>91510124564455174K</v>
      </c>
      <c r="E71" s="43" t="str">
        <f t="shared" si="8"/>
        <v>有限责任公司</v>
      </c>
      <c r="F71" s="43" t="str">
        <f t="shared" si="8"/>
        <v>郫都区税务局</v>
      </c>
      <c r="G71" s="43" t="str">
        <f t="shared" si="8"/>
        <v>收款账号：511610018010210321008
开户行：交通银行成都双流棠湖支行</v>
      </c>
      <c r="H71" s="43"/>
      <c r="I71" s="43"/>
      <c r="J71" s="43"/>
      <c r="K71" s="43"/>
      <c r="L71" s="43"/>
      <c r="M71" s="43"/>
      <c r="N71" s="83"/>
      <c r="O71" s="83"/>
      <c r="P71" s="43"/>
      <c r="Q71" s="55"/>
      <c r="R71" s="43"/>
      <c r="S71" s="43"/>
      <c r="T71" s="55"/>
      <c r="U71" s="56"/>
      <c r="V71" s="50"/>
      <c r="W71" s="43"/>
      <c r="X71" s="57"/>
      <c r="Y71" s="43"/>
      <c r="Z71" s="55"/>
      <c r="AA71" s="55"/>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成都深冷科技有限公司</v>
      </c>
      <c r="C93" s="43" t="str">
        <f t="shared" ref="C93:G93" si="9">C71</f>
        <v>郫都区市场监督管理局</v>
      </c>
      <c r="D93" s="43" t="str">
        <f t="shared" si="9"/>
        <v>91510124564455174K</v>
      </c>
      <c r="E93" s="43" t="str">
        <f t="shared" si="9"/>
        <v>有限责任公司</v>
      </c>
      <c r="F93" s="43" t="str">
        <f t="shared" si="9"/>
        <v>郫都区税务局</v>
      </c>
      <c r="G93" s="43" t="str">
        <f t="shared" si="9"/>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11.94</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AC117"/>
  <sheetViews>
    <sheetView topLeftCell="F1" zoomScale="70" zoomScaleNormal="70" workbookViewId="0">
      <pane ySplit="3" topLeftCell="A4" activePane="bottomLeft" state="frozen"/>
      <selection pane="bottomLeft" activeCell="R4" sqref="R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成都通用电缆厂审计明细表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665</v>
      </c>
      <c r="C4" s="43" t="s">
        <v>1446</v>
      </c>
      <c r="D4" s="43" t="s">
        <v>1474</v>
      </c>
      <c r="E4" s="43" t="s">
        <v>1475</v>
      </c>
      <c r="F4" s="43" t="s">
        <v>1454</v>
      </c>
      <c r="G4" s="43" t="s">
        <v>1229</v>
      </c>
      <c r="H4" s="43" t="s">
        <v>71</v>
      </c>
      <c r="I4" s="43" t="s">
        <v>1476</v>
      </c>
      <c r="J4" s="43" t="s">
        <v>73</v>
      </c>
      <c r="K4" s="43">
        <v>650</v>
      </c>
      <c r="L4" s="43" t="s">
        <v>1477</v>
      </c>
      <c r="M4" s="49" t="s">
        <v>1478</v>
      </c>
      <c r="N4" s="65">
        <v>45103</v>
      </c>
      <c r="O4" s="65">
        <v>45291</v>
      </c>
      <c r="P4" s="43">
        <f>P11-N4</f>
        <v>208</v>
      </c>
      <c r="Q4" s="55">
        <f>SUM(Q5:Q26)</f>
        <v>15.03</v>
      </c>
      <c r="R4" s="55">
        <v>5.05</v>
      </c>
      <c r="S4" s="43"/>
      <c r="T4" s="55">
        <f>SUM(T5:T26)</f>
        <v>15.03</v>
      </c>
      <c r="U4" s="56">
        <v>0.04</v>
      </c>
      <c r="V4" s="50"/>
      <c r="W4" s="43" t="s">
        <v>42</v>
      </c>
      <c r="X4" s="57">
        <v>1.4999999999999999E-2</v>
      </c>
      <c r="Y4" s="43">
        <f>ROUNDDOWN(IF((O4-N4+1)*K4*X4/365&gt;R4,R4,(O4-N4+1)*K4*X4/365),2)</f>
        <v>5.04</v>
      </c>
      <c r="Z4" s="55">
        <f>R4-Y4</f>
        <v>0.01</v>
      </c>
      <c r="AA4" s="55" t="s">
        <v>1263</v>
      </c>
      <c r="AB4" s="43" t="s">
        <v>61</v>
      </c>
    </row>
    <row r="5" spans="1:29" s="35" customFormat="1">
      <c r="A5" s="44"/>
      <c r="B5" s="44"/>
      <c r="C5" s="44"/>
      <c r="D5" s="44"/>
      <c r="E5" s="44"/>
      <c r="F5" s="44"/>
      <c r="G5" s="44"/>
      <c r="H5" s="44"/>
      <c r="I5" s="44"/>
      <c r="J5" s="44"/>
      <c r="K5" s="44"/>
      <c r="L5" s="44"/>
      <c r="M5" s="63"/>
      <c r="N5" s="52"/>
      <c r="O5" s="65">
        <v>45468</v>
      </c>
      <c r="P5" s="53">
        <v>45127</v>
      </c>
      <c r="Q5" s="58">
        <v>1.73</v>
      </c>
      <c r="R5" s="44"/>
      <c r="S5" s="53">
        <v>45127</v>
      </c>
      <c r="T5" s="58">
        <f>(S5-N4)/360*$U$4*$K$4</f>
        <v>1.73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45158</v>
      </c>
      <c r="Q6" s="58">
        <v>2.2400000000000002</v>
      </c>
      <c r="R6" s="44"/>
      <c r="S6" s="53">
        <v>45158</v>
      </c>
      <c r="T6" s="58">
        <f>(S6-S5)/360*$U$4*$K$4</f>
        <v>2.2400000000000002</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45189</v>
      </c>
      <c r="Q7" s="58">
        <v>2.2400000000000002</v>
      </c>
      <c r="R7" s="44"/>
      <c r="S7" s="53">
        <v>45189</v>
      </c>
      <c r="T7" s="58">
        <f>(S7-S6)*$K$4*$U$4/360</f>
        <v>2.2400000000000002</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45219</v>
      </c>
      <c r="Q8" s="58">
        <v>2.17</v>
      </c>
      <c r="R8" s="44"/>
      <c r="S8" s="53">
        <v>45219</v>
      </c>
      <c r="T8" s="58">
        <f t="shared" ref="T8:T11" si="0">(S8-S7)*$K$4*$U$4/360</f>
        <v>2.17</v>
      </c>
      <c r="U8" s="58">
        <f t="shared" ref="U8:U11"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45250</v>
      </c>
      <c r="Q9" s="58">
        <v>2.2400000000000002</v>
      </c>
      <c r="R9" s="44"/>
      <c r="S9" s="53">
        <v>45250</v>
      </c>
      <c r="T9" s="58">
        <f t="shared" si="0"/>
        <v>2.2400000000000002</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45280</v>
      </c>
      <c r="Q10" s="58">
        <v>2.17</v>
      </c>
      <c r="R10" s="44"/>
      <c r="S10" s="53">
        <v>45280</v>
      </c>
      <c r="T10" s="58">
        <f t="shared" si="0"/>
        <v>2.17</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45311</v>
      </c>
      <c r="Q11" s="58">
        <v>2.2400000000000002</v>
      </c>
      <c r="R11" s="44"/>
      <c r="S11" s="53">
        <v>45311</v>
      </c>
      <c r="T11" s="58">
        <f t="shared" si="0"/>
        <v>2.2400000000000002</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成都通用电缆厂</v>
      </c>
      <c r="C27" s="43" t="str">
        <f t="shared" ref="C27:G27" si="2">C4</f>
        <v>郫都区行政审批局</v>
      </c>
      <c r="D27" s="43" t="str">
        <f t="shared" si="2"/>
        <v>91510124202498927Y</v>
      </c>
      <c r="E27" s="43" t="str">
        <f t="shared" si="2"/>
        <v>个人独资企业</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成都通用电缆厂</v>
      </c>
      <c r="C49" s="43" t="str">
        <f t="shared" ref="C49:G49" si="3">C27</f>
        <v>郫都区行政审批局</v>
      </c>
      <c r="D49" s="43" t="str">
        <f t="shared" si="3"/>
        <v>91510124202498927Y</v>
      </c>
      <c r="E49" s="43" t="str">
        <f t="shared" si="3"/>
        <v>个人独资企业</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成都通用电缆厂</v>
      </c>
      <c r="C71" s="43" t="str">
        <f t="shared" ref="C71:G71" si="4">C49</f>
        <v>郫都区行政审批局</v>
      </c>
      <c r="D71" s="43" t="str">
        <f t="shared" si="4"/>
        <v>91510124202498927Y</v>
      </c>
      <c r="E71" s="43" t="str">
        <f t="shared" si="4"/>
        <v>个人独资企业</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成都通用电缆厂</v>
      </c>
      <c r="C93" s="43" t="str">
        <f t="shared" ref="C93:G93" si="5">C71</f>
        <v>郫都区行政审批局</v>
      </c>
      <c r="D93" s="43" t="str">
        <f t="shared" si="5"/>
        <v>91510124202498927Y</v>
      </c>
      <c r="E93" s="43" t="str">
        <f t="shared" si="5"/>
        <v>个人独资企业</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650</v>
      </c>
      <c r="L115" s="43"/>
      <c r="M115" s="43"/>
      <c r="N115" s="50"/>
      <c r="O115" s="50"/>
      <c r="P115" s="43"/>
      <c r="Q115" s="43"/>
      <c r="R115" s="43"/>
      <c r="S115" s="43"/>
      <c r="T115" s="43"/>
      <c r="U115" s="43"/>
      <c r="V115" s="43"/>
      <c r="W115" s="43"/>
      <c r="X115" s="43"/>
      <c r="Y115" s="43">
        <f>Y93+Y71+Y49+Y27++Y4</f>
        <v>5.04</v>
      </c>
      <c r="Z115" s="43"/>
      <c r="AA115" s="43"/>
      <c r="AB115" s="43"/>
    </row>
    <row r="116" spans="1:28">
      <c r="I116" s="36" t="s">
        <v>49</v>
      </c>
      <c r="K116" s="36">
        <f>IF(K115&gt;3000,K117,K115)</f>
        <v>650</v>
      </c>
    </row>
    <row r="117" spans="1:28" hidden="1">
      <c r="K117" s="36">
        <f>IF(K116&gt;3000,K118,K116)</f>
        <v>650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C117"/>
  <sheetViews>
    <sheetView zoomScale="70" zoomScaleNormal="70" workbookViewId="0">
      <pane ySplit="3" topLeftCell="A4" activePane="bottomLeft" state="frozen"/>
      <selection pane="bottomLeft" activeCell="J5" sqref="J5"/>
    </sheetView>
  </sheetViews>
  <sheetFormatPr defaultColWidth="9" defaultRowHeight="14"/>
  <cols>
    <col min="1" max="6" width="9" style="36"/>
    <col min="7" max="7" width="9" style="36" customWidth="1"/>
    <col min="8" max="13" width="9" style="36"/>
    <col min="14" max="14" width="14.25" style="38" customWidth="1"/>
    <col min="15" max="15" width="15" style="38" customWidth="1"/>
    <col min="16" max="16" width="10.25" style="36" customWidth="1"/>
    <col min="17" max="17" width="9" style="36"/>
    <col min="18" max="18" width="9.33203125"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四川川纳电气有限公司审计明细表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695</v>
      </c>
      <c r="C4" s="43" t="s">
        <v>1452</v>
      </c>
      <c r="D4" s="43" t="s">
        <v>1479</v>
      </c>
      <c r="E4" s="43" t="s">
        <v>146</v>
      </c>
      <c r="F4" s="43" t="s">
        <v>1454</v>
      </c>
      <c r="G4" s="43" t="s">
        <v>1229</v>
      </c>
      <c r="H4" s="43" t="s">
        <v>958</v>
      </c>
      <c r="I4" s="43" t="s">
        <v>1480</v>
      </c>
      <c r="J4" s="43" t="s">
        <v>933</v>
      </c>
      <c r="K4" s="43">
        <v>100</v>
      </c>
      <c r="L4" s="43" t="s">
        <v>1481</v>
      </c>
      <c r="M4" s="49" t="s">
        <v>1482</v>
      </c>
      <c r="N4" s="65">
        <v>44876</v>
      </c>
      <c r="O4" s="65">
        <v>44897</v>
      </c>
      <c r="P4" s="43">
        <f>P6-N4</f>
        <v>21</v>
      </c>
      <c r="Q4" s="55">
        <f>SUM(Q5:Q26)</f>
        <v>0.21</v>
      </c>
      <c r="R4" s="55">
        <v>0.06</v>
      </c>
      <c r="S4" s="43"/>
      <c r="T4" s="55">
        <f>SUM(T5:T26)</f>
        <v>0.21</v>
      </c>
      <c r="U4" s="56">
        <v>3.5200000000000002E-2</v>
      </c>
      <c r="V4" s="50"/>
      <c r="W4" s="43" t="s">
        <v>1483</v>
      </c>
      <c r="X4" s="57">
        <v>0.01</v>
      </c>
      <c r="Y4" s="43">
        <f>ROUNDDOWN(IF((O4-N4+1)*K4*X4/365&gt;R4,R4,(O4-N4+1)*K4*X4/365),2)</f>
        <v>0.06</v>
      </c>
      <c r="Z4" s="55">
        <f>R4-Y4</f>
        <v>0</v>
      </c>
      <c r="AA4" s="55"/>
      <c r="AB4" s="43" t="s">
        <v>61</v>
      </c>
    </row>
    <row r="5" spans="1:29" s="35" customFormat="1">
      <c r="A5" s="44"/>
      <c r="B5" s="44"/>
      <c r="C5" s="44"/>
      <c r="D5" s="44"/>
      <c r="E5" s="44"/>
      <c r="F5" s="44"/>
      <c r="G5" s="44"/>
      <c r="H5" s="44"/>
      <c r="I5" s="44"/>
      <c r="J5" s="44"/>
      <c r="K5" s="44"/>
      <c r="L5" s="44"/>
      <c r="M5" s="63"/>
      <c r="N5" s="52"/>
      <c r="O5" s="52"/>
      <c r="P5" s="53">
        <v>44886</v>
      </c>
      <c r="Q5" s="58">
        <v>0.1</v>
      </c>
      <c r="R5" s="44"/>
      <c r="S5" s="53">
        <v>44886</v>
      </c>
      <c r="T5" s="58">
        <f>(S5-N4)/360*$U$4*$K$4</f>
        <v>0.1</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44897</v>
      </c>
      <c r="Q6" s="58">
        <v>0.11</v>
      </c>
      <c r="R6" s="44"/>
      <c r="S6" s="53">
        <v>44897</v>
      </c>
      <c r="T6" s="58">
        <f>(S6-S5)/360*$U$4*$K$4</f>
        <v>0.11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c r="Q7" s="58"/>
      <c r="R7" s="44"/>
      <c r="S7" s="53"/>
      <c r="T7" s="58"/>
      <c r="U7" s="58"/>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四川川纳电气有限公司</v>
      </c>
      <c r="C27" s="43" t="str">
        <f t="shared" ref="C27:G27" si="0">C4</f>
        <v>郫都区市场监督管理局</v>
      </c>
      <c r="D27" s="43" t="str">
        <f t="shared" si="0"/>
        <v>91510124677188324Y</v>
      </c>
      <c r="E27" s="43" t="str">
        <f t="shared" si="0"/>
        <v>有限责任公司</v>
      </c>
      <c r="F27" s="43" t="str">
        <f t="shared" si="0"/>
        <v>郫都区税务局</v>
      </c>
      <c r="G27" s="43" t="str">
        <f t="shared" si="0"/>
        <v>收款账号：511610018010210321008
开户行：交通银行成都双流棠湖支行</v>
      </c>
      <c r="H27" s="43" t="s">
        <v>958</v>
      </c>
      <c r="I27" s="43" t="s">
        <v>1448</v>
      </c>
      <c r="J27" s="43" t="s">
        <v>933</v>
      </c>
      <c r="K27" s="43">
        <v>50</v>
      </c>
      <c r="L27" s="43" t="s">
        <v>1484</v>
      </c>
      <c r="M27" s="43" t="s">
        <v>1485</v>
      </c>
      <c r="N27" s="83">
        <v>44893</v>
      </c>
      <c r="O27" s="83">
        <v>44956</v>
      </c>
      <c r="P27" s="43">
        <f>P30-N27</f>
        <v>63</v>
      </c>
      <c r="Q27" s="55">
        <f>SUM(Q28:Q38)</f>
        <v>0.33</v>
      </c>
      <c r="R27" s="84">
        <v>0.09</v>
      </c>
      <c r="S27" s="43"/>
      <c r="T27" s="55">
        <f>SUM(T28:T38)</f>
        <v>0.33</v>
      </c>
      <c r="U27" s="56">
        <v>3.6499999999999998E-2</v>
      </c>
      <c r="V27" s="50"/>
      <c r="W27" s="43" t="s">
        <v>1486</v>
      </c>
      <c r="X27" s="57">
        <v>0.01</v>
      </c>
      <c r="Y27" s="43">
        <f>ROUNDDOWN(IF((O27-N27+1)*K27*X27/365&gt;R27,R27,(O27-N27+1)*K27*X27/365),2)</f>
        <v>0.08</v>
      </c>
      <c r="Z27" s="55">
        <f>R27-Y27</f>
        <v>0.01</v>
      </c>
      <c r="AA27" s="55" t="s">
        <v>108</v>
      </c>
      <c r="AB27" s="43" t="s">
        <v>61</v>
      </c>
    </row>
    <row r="28" spans="1:28" s="35" customFormat="1">
      <c r="A28" s="44"/>
      <c r="B28" s="44"/>
      <c r="C28" s="44"/>
      <c r="D28" s="44"/>
      <c r="E28" s="44"/>
      <c r="F28" s="44"/>
      <c r="G28" s="44"/>
      <c r="H28" s="44"/>
      <c r="I28" s="44"/>
      <c r="J28" s="44"/>
      <c r="K28" s="44"/>
      <c r="L28" s="44"/>
      <c r="M28" s="44"/>
      <c r="N28" s="52"/>
      <c r="O28" s="52"/>
      <c r="P28" s="53">
        <v>44916</v>
      </c>
      <c r="Q28" s="58">
        <v>0.12</v>
      </c>
      <c r="R28" s="44"/>
      <c r="S28" s="53">
        <v>44916</v>
      </c>
      <c r="T28" s="58">
        <f>(S28-N27)/360*$U$27*$K$27</f>
        <v>0.12</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44947</v>
      </c>
      <c r="Q29" s="58">
        <v>0.16</v>
      </c>
      <c r="R29" s="44"/>
      <c r="S29" s="53">
        <v>44947</v>
      </c>
      <c r="T29" s="58">
        <f>(S29-S28)/360*$U$27*$K$27</f>
        <v>0.16</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44956</v>
      </c>
      <c r="Q30" s="58">
        <v>0.05</v>
      </c>
      <c r="R30" s="44"/>
      <c r="S30" s="53">
        <v>44956</v>
      </c>
      <c r="T30" s="58">
        <f t="shared" ref="T30" si="1">(S30-S29)/360*$U$27*$K$27</f>
        <v>0.05</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c r="A49" s="43">
        <v>3</v>
      </c>
      <c r="B49" s="43" t="str">
        <f>B27</f>
        <v>四川川纳电气有限公司</v>
      </c>
      <c r="C49" s="43" t="str">
        <f t="shared" ref="C49:G49" si="2">C27</f>
        <v>郫都区市场监督管理局</v>
      </c>
      <c r="D49" s="43" t="str">
        <f t="shared" si="2"/>
        <v>91510124677188324Y</v>
      </c>
      <c r="E49" s="43" t="str">
        <f t="shared" si="2"/>
        <v>有限责任公司</v>
      </c>
      <c r="F49" s="43" t="str">
        <f t="shared" si="2"/>
        <v>郫都区税务局</v>
      </c>
      <c r="G49" s="43" t="str">
        <f t="shared" si="2"/>
        <v>收款账号：511610018010210321008
开户行：交通银行成都双流棠湖支行</v>
      </c>
      <c r="H49" s="43" t="s">
        <v>958</v>
      </c>
      <c r="I49" s="43" t="s">
        <v>1448</v>
      </c>
      <c r="J49" s="43" t="s">
        <v>933</v>
      </c>
      <c r="K49" s="43">
        <v>50</v>
      </c>
      <c r="L49" s="43" t="s">
        <v>1487</v>
      </c>
      <c r="M49" s="43" t="s">
        <v>1488</v>
      </c>
      <c r="N49" s="83">
        <v>44910</v>
      </c>
      <c r="O49" s="83">
        <v>44956</v>
      </c>
      <c r="P49" s="43">
        <f>P53-N49</f>
        <v>46</v>
      </c>
      <c r="Q49" s="55">
        <f>SUM(Q50:Q70)</f>
        <v>0.38</v>
      </c>
      <c r="R49" s="84">
        <v>0.11</v>
      </c>
      <c r="S49" s="43"/>
      <c r="T49" s="55">
        <f>SUM(T50:T70)</f>
        <v>0.22</v>
      </c>
      <c r="U49" s="56">
        <v>3.5200000000000002E-2</v>
      </c>
      <c r="V49" s="50"/>
      <c r="W49" s="43" t="s">
        <v>1486</v>
      </c>
      <c r="X49" s="57">
        <v>0.01</v>
      </c>
      <c r="Y49" s="43">
        <f>ROUNDDOWN(IF((O49-N49+1)*K49*X49/365&gt;R49,R49,(O49-N49+1)*K49*X49/365),2)</f>
        <v>0.06</v>
      </c>
      <c r="Z49" s="55">
        <f>R49-Y49</f>
        <v>0.05</v>
      </c>
      <c r="AA49" s="55" t="s">
        <v>108</v>
      </c>
      <c r="AB49" s="43" t="s">
        <v>61</v>
      </c>
    </row>
    <row r="50" spans="1:28" s="35" customFormat="1">
      <c r="A50" s="44"/>
      <c r="B50" s="44"/>
      <c r="C50" s="44"/>
      <c r="D50" s="44"/>
      <c r="E50" s="44"/>
      <c r="F50" s="44"/>
      <c r="G50" s="44"/>
      <c r="H50" s="44"/>
      <c r="I50" s="44"/>
      <c r="J50" s="44"/>
      <c r="K50" s="44"/>
      <c r="L50" s="44"/>
      <c r="M50" s="44"/>
      <c r="N50" s="52"/>
      <c r="O50" s="52"/>
      <c r="P50" s="53">
        <v>44886</v>
      </c>
      <c r="Q50" s="58">
        <v>0.03</v>
      </c>
      <c r="R50" s="44"/>
      <c r="S50" s="53">
        <v>44886</v>
      </c>
      <c r="T50" s="58">
        <f>(S50-N49)/360*$U$49*$K$49</f>
        <v>-0.12</v>
      </c>
      <c r="U50" s="58">
        <f>T50-Q50</f>
        <v>-0.15</v>
      </c>
      <c r="V50" s="52"/>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v>44916</v>
      </c>
      <c r="Q51" s="58">
        <v>0.15</v>
      </c>
      <c r="R51" s="44"/>
      <c r="S51" s="53">
        <v>44916</v>
      </c>
      <c r="T51" s="58">
        <f>(S51-S50)/360*$U$49*$K$49</f>
        <v>0.15</v>
      </c>
      <c r="U51" s="58">
        <f>T51-Q51</f>
        <v>0</v>
      </c>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v>44947</v>
      </c>
      <c r="Q52" s="58">
        <v>0.16</v>
      </c>
      <c r="R52" s="44"/>
      <c r="S52" s="53">
        <v>44947</v>
      </c>
      <c r="T52" s="58">
        <f t="shared" ref="T52:T53" si="3">(S52-S51)/360*$U$49*$K$49</f>
        <v>0.15</v>
      </c>
      <c r="U52" s="58">
        <f>T52-Q52</f>
        <v>-0.01</v>
      </c>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v>44956</v>
      </c>
      <c r="Q53" s="58">
        <v>0.04</v>
      </c>
      <c r="R53" s="44"/>
      <c r="S53" s="53">
        <v>44956</v>
      </c>
      <c r="T53" s="58">
        <f t="shared" si="3"/>
        <v>0.04</v>
      </c>
      <c r="U53" s="58">
        <f t="shared" ref="U53" si="4">T53-Q53</f>
        <v>0</v>
      </c>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c r="A71" s="43">
        <v>4</v>
      </c>
      <c r="B71" s="43" t="str">
        <f>B49</f>
        <v>四川川纳电气有限公司</v>
      </c>
      <c r="C71" s="43" t="str">
        <f t="shared" ref="C71:G71" si="5">C49</f>
        <v>郫都区市场监督管理局</v>
      </c>
      <c r="D71" s="43" t="str">
        <f t="shared" si="5"/>
        <v>91510124677188324Y</v>
      </c>
      <c r="E71" s="43" t="str">
        <f t="shared" si="5"/>
        <v>有限责任公司</v>
      </c>
      <c r="F71" s="43" t="str">
        <f t="shared" si="5"/>
        <v>郫都区税务局</v>
      </c>
      <c r="G71" s="43" t="str">
        <f t="shared" si="5"/>
        <v>收款账号：511610018010210321008
开户行：交通银行成都双流棠湖支行</v>
      </c>
      <c r="H71" s="43" t="s">
        <v>958</v>
      </c>
      <c r="I71" s="43" t="s">
        <v>1448</v>
      </c>
      <c r="J71" s="43" t="s">
        <v>73</v>
      </c>
      <c r="K71" s="43">
        <v>270</v>
      </c>
      <c r="L71" s="43" t="s">
        <v>1489</v>
      </c>
      <c r="M71" s="43" t="s">
        <v>1490</v>
      </c>
      <c r="N71" s="83">
        <v>44910</v>
      </c>
      <c r="O71" s="83">
        <v>45103</v>
      </c>
      <c r="P71" s="43">
        <f>P75-N71</f>
        <v>83</v>
      </c>
      <c r="Q71" s="55">
        <f>SUM(Q72:Q92)</f>
        <v>2.27</v>
      </c>
      <c r="R71" s="43">
        <v>0.62250000000000005</v>
      </c>
      <c r="S71" s="43"/>
      <c r="T71" s="55">
        <f>SUM(T72:T92)</f>
        <v>2.27</v>
      </c>
      <c r="U71" s="56">
        <v>3.6499999999999998E-2</v>
      </c>
      <c r="V71" s="50"/>
      <c r="W71" s="43" t="s">
        <v>1491</v>
      </c>
      <c r="X71" s="57">
        <v>0.01</v>
      </c>
      <c r="Y71" s="43">
        <f>ROUNDDOWN(IF((O71-N71+1)*K71*X71/365&gt;R71,R71,(O71-N71+1)*K71*X71/365),2)</f>
        <v>0.62</v>
      </c>
      <c r="Z71" s="55">
        <f>R71-Y71</f>
        <v>0</v>
      </c>
      <c r="AA71" s="55"/>
      <c r="AB71" s="43" t="s">
        <v>1492</v>
      </c>
    </row>
    <row r="72" spans="1:28" s="35" customFormat="1">
      <c r="A72" s="44"/>
      <c r="B72" s="44"/>
      <c r="C72" s="44"/>
      <c r="D72" s="44"/>
      <c r="E72" s="44"/>
      <c r="F72" s="44"/>
      <c r="G72" s="44"/>
      <c r="H72" s="44"/>
      <c r="I72" s="44"/>
      <c r="J72" s="44"/>
      <c r="K72" s="44"/>
      <c r="L72" s="44"/>
      <c r="M72" s="44"/>
      <c r="N72" s="52"/>
      <c r="O72" s="52">
        <v>45274</v>
      </c>
      <c r="P72" s="53">
        <v>44916</v>
      </c>
      <c r="Q72" s="58">
        <v>0.16</v>
      </c>
      <c r="R72" s="44"/>
      <c r="S72" s="53">
        <v>44916</v>
      </c>
      <c r="T72" s="58">
        <f>(S72-N71)/360*$U$71*$K$71</f>
        <v>0.16</v>
      </c>
      <c r="U72" s="58">
        <f>T72-Q72</f>
        <v>0</v>
      </c>
      <c r="V72" s="52"/>
      <c r="W72" s="44"/>
      <c r="X72" s="44"/>
      <c r="Y72" s="44"/>
      <c r="Z72" s="44"/>
      <c r="AA72" s="44"/>
      <c r="AB72" s="44"/>
    </row>
    <row r="73" spans="1:28" s="35" customFormat="1">
      <c r="A73" s="44"/>
      <c r="B73" s="44"/>
      <c r="C73" s="44"/>
      <c r="D73" s="44"/>
      <c r="E73" s="44"/>
      <c r="F73" s="44"/>
      <c r="G73" s="44"/>
      <c r="H73" s="44"/>
      <c r="I73" s="44"/>
      <c r="J73" s="44"/>
      <c r="K73" s="44"/>
      <c r="L73" s="44"/>
      <c r="M73" s="44"/>
      <c r="N73" s="52"/>
      <c r="O73" s="52"/>
      <c r="P73" s="53">
        <v>44947</v>
      </c>
      <c r="Q73" s="58">
        <v>0.85</v>
      </c>
      <c r="R73" s="44"/>
      <c r="S73" s="53">
        <v>44947</v>
      </c>
      <c r="T73" s="58">
        <f>(S73-S72)/360*$U$71*$K$71</f>
        <v>0.85</v>
      </c>
      <c r="U73" s="58">
        <f>T73-Q73</f>
        <v>0</v>
      </c>
      <c r="V73" s="44"/>
      <c r="W73" s="44"/>
      <c r="X73" s="44"/>
      <c r="Y73" s="44"/>
      <c r="Z73" s="44"/>
      <c r="AA73" s="44"/>
      <c r="AB73" s="44"/>
    </row>
    <row r="74" spans="1:28" s="35" customFormat="1">
      <c r="A74" s="44"/>
      <c r="B74" s="44"/>
      <c r="C74" s="44"/>
      <c r="D74" s="44"/>
      <c r="E74" s="44"/>
      <c r="F74" s="44"/>
      <c r="G74" s="44"/>
      <c r="H74" s="44"/>
      <c r="I74" s="44"/>
      <c r="J74" s="44"/>
      <c r="K74" s="44"/>
      <c r="L74" s="44"/>
      <c r="M74" s="44"/>
      <c r="N74" s="52"/>
      <c r="O74" s="52"/>
      <c r="P74" s="53">
        <v>44978</v>
      </c>
      <c r="Q74" s="58">
        <v>0.85</v>
      </c>
      <c r="R74" s="44"/>
      <c r="S74" s="53">
        <v>44978</v>
      </c>
      <c r="T74" s="58">
        <f t="shared" ref="T74:T75" si="6">(S74-S73)/360*$U$71*$K$71</f>
        <v>0.85</v>
      </c>
      <c r="U74" s="58">
        <f>T74-Q74</f>
        <v>0</v>
      </c>
      <c r="V74" s="44"/>
      <c r="W74" s="44"/>
      <c r="X74" s="44"/>
      <c r="Y74" s="44"/>
      <c r="Z74" s="44"/>
      <c r="AA74" s="44"/>
      <c r="AB74" s="44"/>
    </row>
    <row r="75" spans="1:28" s="35" customFormat="1">
      <c r="A75" s="44"/>
      <c r="B75" s="44"/>
      <c r="C75" s="44"/>
      <c r="D75" s="44"/>
      <c r="E75" s="44"/>
      <c r="F75" s="44"/>
      <c r="G75" s="44"/>
      <c r="H75" s="44"/>
      <c r="I75" s="44"/>
      <c r="J75" s="44"/>
      <c r="K75" s="44"/>
      <c r="L75" s="44"/>
      <c r="M75" s="44"/>
      <c r="N75" s="52"/>
      <c r="O75" s="52"/>
      <c r="P75" s="53">
        <v>44993</v>
      </c>
      <c r="Q75" s="58">
        <v>0.41</v>
      </c>
      <c r="R75" s="44"/>
      <c r="S75" s="53">
        <v>44993</v>
      </c>
      <c r="T75" s="58">
        <f t="shared" si="6"/>
        <v>0.41</v>
      </c>
      <c r="U75" s="58">
        <f t="shared" ref="U75" si="7">T75-Q75</f>
        <v>0</v>
      </c>
      <c r="V75" s="44"/>
      <c r="W75" s="44"/>
      <c r="X75" s="44"/>
      <c r="Y75" s="44"/>
      <c r="Z75" s="44"/>
      <c r="AA75" s="44"/>
      <c r="AB75" s="44"/>
    </row>
    <row r="76" spans="1:28" s="35" customFormat="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四川川纳电气有限公司</v>
      </c>
      <c r="C93" s="43" t="str">
        <f t="shared" ref="C93:G93" si="8">C71</f>
        <v>郫都区市场监督管理局</v>
      </c>
      <c r="D93" s="43" t="str">
        <f t="shared" si="8"/>
        <v>91510124677188324Y</v>
      </c>
      <c r="E93" s="43" t="str">
        <f t="shared" si="8"/>
        <v>有限责任公司</v>
      </c>
      <c r="F93" s="43" t="str">
        <f t="shared" si="8"/>
        <v>郫都区税务局</v>
      </c>
      <c r="G93" s="43" t="str">
        <f t="shared" si="8"/>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470</v>
      </c>
      <c r="L115" s="43"/>
      <c r="M115" s="43"/>
      <c r="N115" s="50"/>
      <c r="O115" s="50"/>
      <c r="P115" s="43"/>
      <c r="Q115" s="43"/>
      <c r="R115" s="43"/>
      <c r="S115" s="43"/>
      <c r="T115" s="43"/>
      <c r="U115" s="43"/>
      <c r="V115" s="43"/>
      <c r="W115" s="43"/>
      <c r="X115" s="43"/>
      <c r="Y115" s="43">
        <f>Y93+Y71+Y49+Y27++Y4</f>
        <v>0.82</v>
      </c>
      <c r="Z115" s="43"/>
      <c r="AA115" s="43"/>
      <c r="AB115" s="43"/>
    </row>
    <row r="116" spans="1:28">
      <c r="I116" s="36" t="s">
        <v>49</v>
      </c>
      <c r="K116" s="36">
        <f>IF(K115&gt;3000,K117,K115)</f>
        <v>470</v>
      </c>
    </row>
    <row r="117" spans="1:28" hidden="1">
      <c r="K117" s="36">
        <f>IF(K116&gt;3000,K118,K116)</f>
        <v>470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AC117"/>
  <sheetViews>
    <sheetView topLeftCell="J1" workbookViewId="0">
      <pane ySplit="3" topLeftCell="A4" activePane="bottomLeft" state="frozen"/>
      <selection pane="bottomLeft" activeCell="M8" sqref="M8"/>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成都迈特航空制造有限公司审计明细表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636</v>
      </c>
      <c r="C4" s="43" t="s">
        <v>1452</v>
      </c>
      <c r="D4" s="43" t="s">
        <v>1493</v>
      </c>
      <c r="E4" s="43" t="s">
        <v>146</v>
      </c>
      <c r="F4" s="43" t="s">
        <v>1454</v>
      </c>
      <c r="G4" s="43" t="s">
        <v>1229</v>
      </c>
      <c r="H4" s="43" t="s">
        <v>71</v>
      </c>
      <c r="I4" s="43" t="s">
        <v>1387</v>
      </c>
      <c r="J4" s="43" t="s">
        <v>73</v>
      </c>
      <c r="K4" s="43">
        <v>1000</v>
      </c>
      <c r="L4" s="43" t="s">
        <v>1494</v>
      </c>
      <c r="M4" s="49" t="s">
        <v>1495</v>
      </c>
      <c r="N4" s="65">
        <v>44945</v>
      </c>
      <c r="O4" s="65">
        <v>45282</v>
      </c>
      <c r="P4" s="43">
        <f>P17-N4</f>
        <v>337</v>
      </c>
      <c r="Q4" s="55">
        <f>SUM(Q5:Q26)</f>
        <v>32.659999999999997</v>
      </c>
      <c r="R4" s="55">
        <v>15</v>
      </c>
      <c r="S4" s="43"/>
      <c r="T4" s="55">
        <f>SUM(T5:T26)</f>
        <v>32.75</v>
      </c>
      <c r="U4" s="56">
        <v>3.5000000000000003E-2</v>
      </c>
      <c r="V4" s="50"/>
      <c r="W4" s="43" t="s">
        <v>1496</v>
      </c>
      <c r="X4" s="57">
        <v>1.4999999999999999E-2</v>
      </c>
      <c r="Y4" s="43">
        <f>ROUNDDOWN(IF((O4-N4+1)*K4*X4/365&gt;R4,R4,(O4-N4+1)*K4*X4/365),2)</f>
        <v>13.89</v>
      </c>
      <c r="Z4" s="55">
        <f>R4-Y4</f>
        <v>1.1100000000000001</v>
      </c>
      <c r="AA4" s="55" t="s">
        <v>108</v>
      </c>
      <c r="AB4" s="43" t="s">
        <v>61</v>
      </c>
    </row>
    <row r="5" spans="1:29" s="35" customFormat="1">
      <c r="A5" s="44"/>
      <c r="B5" s="44"/>
      <c r="C5" s="44"/>
      <c r="D5" s="44"/>
      <c r="E5" s="44"/>
      <c r="F5" s="44"/>
      <c r="G5" s="44"/>
      <c r="H5" s="44"/>
      <c r="I5" s="44"/>
      <c r="J5" s="44"/>
      <c r="K5" s="44"/>
      <c r="L5" s="44"/>
      <c r="M5" s="63"/>
      <c r="N5" s="52"/>
      <c r="O5" s="65">
        <v>45340</v>
      </c>
      <c r="P5" s="53">
        <v>44947</v>
      </c>
      <c r="Q5" s="58">
        <v>0.19</v>
      </c>
      <c r="R5" s="44"/>
      <c r="S5" s="53">
        <v>44947</v>
      </c>
      <c r="T5" s="58">
        <f>(S5-N4)/360*$U$4*$K$4</f>
        <v>0.19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3.01</v>
      </c>
      <c r="R6" s="44"/>
      <c r="S6" s="53">
        <v>44978</v>
      </c>
      <c r="T6" s="58">
        <f>(S6-S5)/360*$U$4*$K$4</f>
        <v>3.01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2.72</v>
      </c>
      <c r="R7" s="44"/>
      <c r="S7" s="53">
        <v>45006</v>
      </c>
      <c r="T7" s="58">
        <f>(S7-S6)*$K$4*$U$4/360</f>
        <v>2.72</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3.01</v>
      </c>
      <c r="R8" s="44"/>
      <c r="S8" s="53">
        <v>45037</v>
      </c>
      <c r="T8" s="58">
        <f t="shared" ref="T8:T17" si="0">(S8-S7)*$K$4*$U$4/360</f>
        <v>3.01</v>
      </c>
      <c r="U8" s="58">
        <f t="shared" ref="U8:U17"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2.92</v>
      </c>
      <c r="R9" s="44"/>
      <c r="S9" s="53">
        <v>45067</v>
      </c>
      <c r="T9" s="58">
        <f t="shared" si="0"/>
        <v>2.92</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3.01</v>
      </c>
      <c r="R10" s="44"/>
      <c r="S10" s="53">
        <v>45098</v>
      </c>
      <c r="T10" s="58">
        <f t="shared" si="0"/>
        <v>3.01</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2.92</v>
      </c>
      <c r="R11" s="44"/>
      <c r="S11" s="53">
        <v>45128</v>
      </c>
      <c r="T11" s="58">
        <f t="shared" si="0"/>
        <v>2.92</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3.01</v>
      </c>
      <c r="R12" s="44"/>
      <c r="S12" s="53">
        <v>45159</v>
      </c>
      <c r="T12" s="58">
        <f t="shared" si="0"/>
        <v>3.01</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3.01</v>
      </c>
      <c r="R13" s="44"/>
      <c r="S13" s="53">
        <v>45190</v>
      </c>
      <c r="T13" s="58">
        <f t="shared" si="0"/>
        <v>3.01</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2.92</v>
      </c>
      <c r="R14" s="44"/>
      <c r="S14" s="53">
        <v>45220</v>
      </c>
      <c r="T14" s="58">
        <f t="shared" si="0"/>
        <v>2.92</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3.01</v>
      </c>
      <c r="R15" s="44"/>
      <c r="S15" s="53">
        <v>45251</v>
      </c>
      <c r="T15" s="58">
        <f t="shared" si="0"/>
        <v>3.01</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45281</v>
      </c>
      <c r="Q16" s="58">
        <v>2.92</v>
      </c>
      <c r="R16" s="44"/>
      <c r="S16" s="53">
        <v>45281</v>
      </c>
      <c r="T16" s="58">
        <f t="shared" si="0"/>
        <v>2.92</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45282</v>
      </c>
      <c r="Q17" s="58">
        <v>0.01</v>
      </c>
      <c r="R17" s="44"/>
      <c r="S17" s="53">
        <v>45282</v>
      </c>
      <c r="T17" s="58">
        <f t="shared" si="0"/>
        <v>0.1</v>
      </c>
      <c r="U17" s="58">
        <f t="shared" si="1"/>
        <v>0.09</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成都迈特航空制造有限公司</v>
      </c>
      <c r="C27" s="43" t="str">
        <f t="shared" ref="C27:G27" si="2">C4</f>
        <v>郫都区市场监督管理局</v>
      </c>
      <c r="D27" s="43" t="str">
        <f t="shared" si="2"/>
        <v>915101245564070566XB</v>
      </c>
      <c r="E27" s="43" t="str">
        <f t="shared" si="2"/>
        <v>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成都迈特航空制造有限公司</v>
      </c>
      <c r="C49" s="43" t="str">
        <f t="shared" ref="C49:G49" si="3">C27</f>
        <v>郫都区市场监督管理局</v>
      </c>
      <c r="D49" s="43" t="str">
        <f t="shared" si="3"/>
        <v>915101245564070566XB</v>
      </c>
      <c r="E49" s="43" t="str">
        <f t="shared" si="3"/>
        <v>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成都迈特航空制造有限公司</v>
      </c>
      <c r="C71" s="43" t="str">
        <f t="shared" ref="C71:G71" si="4">C49</f>
        <v>郫都区市场监督管理局</v>
      </c>
      <c r="D71" s="43" t="str">
        <f t="shared" si="4"/>
        <v>915101245564070566XB</v>
      </c>
      <c r="E71" s="43" t="str">
        <f t="shared" si="4"/>
        <v>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成都迈特航空制造有限公司</v>
      </c>
      <c r="C93" s="43" t="str">
        <f t="shared" ref="C93:G93" si="5">C71</f>
        <v>郫都区市场监督管理局</v>
      </c>
      <c r="D93" s="43" t="str">
        <f t="shared" si="5"/>
        <v>915101245564070566XB</v>
      </c>
      <c r="E93" s="43" t="str">
        <f t="shared" si="5"/>
        <v>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13.89</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成都锐芯盛通电子科技有限公司审计明细表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26">
      <c r="A4" s="9">
        <v>1</v>
      </c>
      <c r="B4" s="9" t="s">
        <v>199</v>
      </c>
      <c r="C4" s="9" t="s">
        <v>32</v>
      </c>
      <c r="D4" s="9" t="s">
        <v>200</v>
      </c>
      <c r="E4" s="9" t="s">
        <v>34</v>
      </c>
      <c r="F4" s="9" t="s">
        <v>201</v>
      </c>
      <c r="G4" s="9" t="s">
        <v>202</v>
      </c>
      <c r="H4" s="9" t="s">
        <v>71</v>
      </c>
      <c r="I4" s="9" t="s">
        <v>148</v>
      </c>
      <c r="J4" s="9" t="s">
        <v>168</v>
      </c>
      <c r="K4" s="9">
        <v>1000</v>
      </c>
      <c r="L4" s="9" t="s">
        <v>203</v>
      </c>
      <c r="M4" s="20" t="s">
        <v>204</v>
      </c>
      <c r="N4" s="16">
        <v>45120</v>
      </c>
      <c r="O4" s="16">
        <v>45291</v>
      </c>
      <c r="P4" s="9">
        <f>P10-N4</f>
        <v>192</v>
      </c>
      <c r="Q4" s="22">
        <f>SUM(Q5:Q25)</f>
        <v>18.66</v>
      </c>
      <c r="R4" s="22">
        <v>7.0684930000000001</v>
      </c>
      <c r="S4" s="9"/>
      <c r="T4" s="22">
        <f>SUM(T5:T25)</f>
        <v>18.66</v>
      </c>
      <c r="U4" s="23">
        <v>3.5000000000000003E-2</v>
      </c>
      <c r="V4" s="16"/>
      <c r="W4" s="9" t="s">
        <v>42</v>
      </c>
      <c r="X4" s="24">
        <v>1.4999999999999999E-2</v>
      </c>
      <c r="Y4" s="9">
        <f>ROUNDDOWN(IF((O4-N4+1)*K4*X4/365&gt;R4,R4,(O4-N4+1)*K4*X4/365),2)</f>
        <v>7.06</v>
      </c>
      <c r="Z4" s="22">
        <f>R4-Y4</f>
        <v>0.01</v>
      </c>
      <c r="AA4" s="22" t="s">
        <v>43</v>
      </c>
      <c r="AB4" s="9" t="s">
        <v>61</v>
      </c>
      <c r="AD4" s="28">
        <f>(O4-N4+1)*K4*X4/365</f>
        <v>7.0685000000000002</v>
      </c>
    </row>
    <row r="5" spans="1:30" s="2" customFormat="1">
      <c r="A5" s="10"/>
      <c r="B5" s="10"/>
      <c r="C5" s="10"/>
      <c r="D5" s="10"/>
      <c r="E5" s="10"/>
      <c r="F5" s="10"/>
      <c r="G5" s="10"/>
      <c r="H5" s="10"/>
      <c r="I5" s="10"/>
      <c r="J5" s="10"/>
      <c r="K5" s="10"/>
      <c r="L5" s="10"/>
      <c r="M5" s="17"/>
      <c r="N5" s="18"/>
      <c r="O5" s="16">
        <v>45476</v>
      </c>
      <c r="P5" s="19">
        <v>45159</v>
      </c>
      <c r="Q5" s="25">
        <v>3.79</v>
      </c>
      <c r="R5" s="10"/>
      <c r="S5" s="19">
        <f>P5</f>
        <v>45159</v>
      </c>
      <c r="T5" s="25">
        <f>(S5-N4)/360*$U$4*$K$4</f>
        <v>3.79</v>
      </c>
      <c r="U5" s="25">
        <f>T5-Q5</f>
        <v>0</v>
      </c>
      <c r="V5" s="18"/>
      <c r="W5" s="10"/>
      <c r="X5" s="10"/>
      <c r="Y5" s="10">
        <f>ROUNDDOWN((V5-N4)*K4*X4/365,2)</f>
        <v>-1854.24</v>
      </c>
      <c r="Z5" s="10"/>
      <c r="AA5" s="10"/>
      <c r="AB5" s="10"/>
    </row>
    <row r="6" spans="1:30" s="2" customFormat="1">
      <c r="A6" s="10"/>
      <c r="B6" s="10"/>
      <c r="C6" s="10"/>
      <c r="D6" s="10"/>
      <c r="E6" s="10"/>
      <c r="F6" s="10"/>
      <c r="G6" s="10"/>
      <c r="H6" s="10"/>
      <c r="I6" s="10"/>
      <c r="J6" s="10"/>
      <c r="K6" s="10"/>
      <c r="L6" s="10"/>
      <c r="M6" s="17"/>
      <c r="N6" s="18"/>
      <c r="O6" s="18"/>
      <c r="P6" s="19">
        <v>45190</v>
      </c>
      <c r="Q6" s="25">
        <v>3.01</v>
      </c>
      <c r="R6" s="10"/>
      <c r="S6" s="19">
        <f t="shared" ref="S6:S10" si="0">P6</f>
        <v>45190</v>
      </c>
      <c r="T6" s="25">
        <f>(S6-S5)*$K$4*$U$4/360</f>
        <v>3.01</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45220</v>
      </c>
      <c r="Q7" s="25">
        <v>2.92</v>
      </c>
      <c r="R7" s="10"/>
      <c r="S7" s="19">
        <f t="shared" si="0"/>
        <v>45220</v>
      </c>
      <c r="T7" s="25">
        <f t="shared" ref="T7:T10" si="1">(S7-S6)*$K$4*$U$4/360</f>
        <v>2.92</v>
      </c>
      <c r="U7" s="25">
        <f t="shared" ref="U7:U10"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45251</v>
      </c>
      <c r="Q8" s="25">
        <v>3.01</v>
      </c>
      <c r="R8" s="10"/>
      <c r="S8" s="19">
        <f t="shared" si="0"/>
        <v>45251</v>
      </c>
      <c r="T8" s="25">
        <f t="shared" si="1"/>
        <v>3.01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45281</v>
      </c>
      <c r="Q9" s="25">
        <v>2.92</v>
      </c>
      <c r="R9" s="10"/>
      <c r="S9" s="19">
        <f t="shared" si="0"/>
        <v>45281</v>
      </c>
      <c r="T9" s="25">
        <f t="shared" si="1"/>
        <v>2.92</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45312</v>
      </c>
      <c r="Q10" s="25">
        <v>3.01</v>
      </c>
      <c r="R10" s="10"/>
      <c r="S10" s="19">
        <f t="shared" si="0"/>
        <v>45312</v>
      </c>
      <c r="T10" s="25">
        <f t="shared" si="1"/>
        <v>3.01</v>
      </c>
      <c r="U10" s="25">
        <f t="shared" si="2"/>
        <v>0</v>
      </c>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成都锐芯盛通电子科技有限公司</v>
      </c>
      <c r="C26" s="9" t="str">
        <f t="shared" ref="C26:G26" si="3">C4</f>
        <v>成都高新技术产业开发区市场监督管理局</v>
      </c>
      <c r="D26" s="9" t="str">
        <f t="shared" si="3"/>
        <v>91510100394481221U</v>
      </c>
      <c r="E26" s="9" t="str">
        <f t="shared" si="3"/>
        <v>私营企业</v>
      </c>
      <c r="F26" s="9" t="str">
        <f t="shared" si="3"/>
        <v>成都高新区税务局</v>
      </c>
      <c r="G26" s="9" t="str">
        <f t="shared" si="3"/>
        <v>51001488561052504587开户银行:中国建设银行股份有限公司成都龙腾路支行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26" hidden="1">
      <c r="A48" s="9">
        <v>3</v>
      </c>
      <c r="B48" s="9" t="str">
        <f>B26</f>
        <v>成都锐芯盛通电子科技有限公司</v>
      </c>
      <c r="C48" s="9" t="str">
        <f t="shared" ref="C48:G48" si="7">C26</f>
        <v>成都高新技术产业开发区市场监督管理局</v>
      </c>
      <c r="D48" s="9" t="str">
        <f t="shared" si="7"/>
        <v>91510100394481221U</v>
      </c>
      <c r="E48" s="9" t="str">
        <f t="shared" si="7"/>
        <v>私营企业</v>
      </c>
      <c r="F48" s="9" t="str">
        <f t="shared" si="7"/>
        <v>成都高新区税务局</v>
      </c>
      <c r="G48" s="9" t="str">
        <f t="shared" si="7"/>
        <v>51001488561052504587开户银行:中国建设银行股份有限公司成都龙腾路支行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26" hidden="1">
      <c r="A70" s="9">
        <v>4</v>
      </c>
      <c r="B70" s="9" t="str">
        <f>B48</f>
        <v>成都锐芯盛通电子科技有限公司</v>
      </c>
      <c r="C70" s="9" t="str">
        <f t="shared" ref="C70:G70" si="10">C48</f>
        <v>成都高新技术产业开发区市场监督管理局</v>
      </c>
      <c r="D70" s="9" t="str">
        <f t="shared" si="10"/>
        <v>91510100394481221U</v>
      </c>
      <c r="E70" s="9" t="str">
        <f t="shared" si="10"/>
        <v>私营企业</v>
      </c>
      <c r="F70" s="9" t="str">
        <f t="shared" si="10"/>
        <v>成都高新区税务局</v>
      </c>
      <c r="G70" s="9" t="str">
        <f t="shared" si="10"/>
        <v>51001488561052504587开户银行:中国建设银行股份有限公司成都龙腾路支行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26" hidden="1">
      <c r="A92" s="9">
        <v>5</v>
      </c>
      <c r="B92" s="9" t="str">
        <f>B70</f>
        <v>成都锐芯盛通电子科技有限公司</v>
      </c>
      <c r="C92" s="9" t="str">
        <f t="shared" ref="C92:G92" si="11">C70</f>
        <v>成都高新技术产业开发区市场监督管理局</v>
      </c>
      <c r="D92" s="9" t="str">
        <f t="shared" si="11"/>
        <v>91510100394481221U</v>
      </c>
      <c r="E92" s="9" t="str">
        <f t="shared" si="11"/>
        <v>私营企业</v>
      </c>
      <c r="F92" s="9" t="str">
        <f t="shared" si="11"/>
        <v>成都高新区税务局</v>
      </c>
      <c r="G92" s="9" t="str">
        <f t="shared" si="11"/>
        <v>51001488561052504587开户银行:中国建设银行股份有限公司成都龙腾路支行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7.0684930000000001</v>
      </c>
      <c r="S114" s="9"/>
      <c r="T114" s="9"/>
      <c r="U114" s="9"/>
      <c r="V114" s="9"/>
      <c r="W114" s="9"/>
      <c r="X114" s="9"/>
      <c r="Y114" s="9">
        <f>Y92+Y70+Y48+Y26++Y4</f>
        <v>7.06</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成都市鸿侠科技有限责任公司审计明细表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654</v>
      </c>
      <c r="C4" s="43" t="s">
        <v>1452</v>
      </c>
      <c r="D4" s="43" t="s">
        <v>1497</v>
      </c>
      <c r="E4" s="43" t="s">
        <v>146</v>
      </c>
      <c r="F4" s="43" t="s">
        <v>1454</v>
      </c>
      <c r="G4" s="43" t="s">
        <v>1229</v>
      </c>
      <c r="H4" s="43" t="s">
        <v>71</v>
      </c>
      <c r="I4" s="43" t="s">
        <v>1498</v>
      </c>
      <c r="J4" s="43" t="s">
        <v>73</v>
      </c>
      <c r="K4" s="43">
        <v>600</v>
      </c>
      <c r="L4" s="43" t="s">
        <v>1499</v>
      </c>
      <c r="M4" s="49" t="s">
        <v>1500</v>
      </c>
      <c r="N4" s="65">
        <v>45079</v>
      </c>
      <c r="O4" s="65">
        <v>45291</v>
      </c>
      <c r="P4" s="43">
        <f>P11-N4</f>
        <v>212</v>
      </c>
      <c r="Q4" s="55">
        <f>SUM(Q5:Q26)</f>
        <v>14.21</v>
      </c>
      <c r="R4" s="55">
        <v>5.25</v>
      </c>
      <c r="S4" s="43"/>
      <c r="T4" s="55">
        <f>SUM(T5:T26)</f>
        <v>14.15</v>
      </c>
      <c r="U4" s="56">
        <v>0.04</v>
      </c>
      <c r="V4" s="50"/>
      <c r="W4" s="43" t="s">
        <v>42</v>
      </c>
      <c r="X4" s="57">
        <v>1.4999999999999999E-2</v>
      </c>
      <c r="Y4" s="43">
        <f>ROUNDDOWN(IF((O4-N4+1)*K4*X4/365&gt;R4,R4,(O4-N4+1)*K4*X4/365),2)</f>
        <v>5.25</v>
      </c>
      <c r="Z4" s="55">
        <f>R4-Y4</f>
        <v>0</v>
      </c>
      <c r="AA4" s="55"/>
      <c r="AB4" s="43" t="s">
        <v>61</v>
      </c>
    </row>
    <row r="5" spans="1:29" s="35" customFormat="1">
      <c r="A5" s="44"/>
      <c r="B5" s="44"/>
      <c r="C5" s="44"/>
      <c r="D5" s="44"/>
      <c r="E5" s="44"/>
      <c r="F5" s="44"/>
      <c r="G5" s="44"/>
      <c r="H5" s="44"/>
      <c r="I5" s="44"/>
      <c r="J5" s="44"/>
      <c r="K5" s="44"/>
      <c r="L5" s="44"/>
      <c r="M5" s="63"/>
      <c r="N5" s="52"/>
      <c r="O5" s="65">
        <v>45444</v>
      </c>
      <c r="P5" s="53">
        <v>45128</v>
      </c>
      <c r="Q5" s="58">
        <v>3.27</v>
      </c>
      <c r="R5" s="44"/>
      <c r="S5" s="53">
        <v>45128</v>
      </c>
      <c r="T5" s="58">
        <f>(S5-N4)/360*$U$4*$K$4</f>
        <v>3.27</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45159</v>
      </c>
      <c r="Q6" s="58">
        <v>2.0699999999999998</v>
      </c>
      <c r="R6" s="44"/>
      <c r="S6" s="53">
        <v>45159</v>
      </c>
      <c r="T6" s="58">
        <f>(S6-S5)/360*$U$4*$K$4</f>
        <v>2.0699999999999998</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45190</v>
      </c>
      <c r="Q7" s="58">
        <v>2.0699999999999998</v>
      </c>
      <c r="R7" s="44"/>
      <c r="S7" s="53">
        <v>45190</v>
      </c>
      <c r="T7" s="58">
        <f>(S7-S6)*$K$4*$U$4/360</f>
        <v>2.0699999999999998</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45220</v>
      </c>
      <c r="Q8" s="58">
        <v>2</v>
      </c>
      <c r="R8" s="44"/>
      <c r="S8" s="53">
        <v>45220</v>
      </c>
      <c r="T8" s="58">
        <f t="shared" ref="T8:T11" si="0">(S8-S7)*$K$4*$U$4/360</f>
        <v>2</v>
      </c>
      <c r="U8" s="58">
        <f t="shared" ref="U8:U11"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45251</v>
      </c>
      <c r="Q9" s="58">
        <v>2.0699999999999998</v>
      </c>
      <c r="R9" s="44"/>
      <c r="S9" s="53">
        <v>45251</v>
      </c>
      <c r="T9" s="58">
        <f t="shared" si="0"/>
        <v>2.0699999999999998</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45281</v>
      </c>
      <c r="Q10" s="58">
        <v>2</v>
      </c>
      <c r="R10" s="44"/>
      <c r="S10" s="53">
        <v>45281</v>
      </c>
      <c r="T10" s="58">
        <f t="shared" si="0"/>
        <v>2</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45291</v>
      </c>
      <c r="Q11" s="58">
        <v>0.73</v>
      </c>
      <c r="R11" s="44"/>
      <c r="S11" s="53">
        <v>45291</v>
      </c>
      <c r="T11" s="58">
        <f t="shared" si="0"/>
        <v>0.67</v>
      </c>
      <c r="U11" s="58">
        <f t="shared" si="1"/>
        <v>-0.06</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成都市鸿侠科技有限责任公司</v>
      </c>
      <c r="C27" s="43" t="str">
        <f t="shared" ref="C27:G27" si="2">C4</f>
        <v>郫都区市场监督管理局</v>
      </c>
      <c r="D27" s="43" t="str">
        <f t="shared" si="2"/>
        <v>9151012468456405XU</v>
      </c>
      <c r="E27" s="43" t="str">
        <f t="shared" si="2"/>
        <v>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成都市鸿侠科技有限责任公司</v>
      </c>
      <c r="C49" s="43" t="str">
        <f t="shared" ref="C49:G49" si="3">C27</f>
        <v>郫都区市场监督管理局</v>
      </c>
      <c r="D49" s="43" t="str">
        <f t="shared" si="3"/>
        <v>9151012468456405XU</v>
      </c>
      <c r="E49" s="43" t="str">
        <f t="shared" si="3"/>
        <v>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成都市鸿侠科技有限责任公司</v>
      </c>
      <c r="C71" s="43" t="str">
        <f t="shared" ref="C71:G71" si="4">C49</f>
        <v>郫都区市场监督管理局</v>
      </c>
      <c r="D71" s="43" t="str">
        <f t="shared" si="4"/>
        <v>9151012468456405XU</v>
      </c>
      <c r="E71" s="43" t="str">
        <f t="shared" si="4"/>
        <v>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成都市鸿侠科技有限责任公司</v>
      </c>
      <c r="C93" s="43" t="str">
        <f t="shared" ref="C93:G93" si="5">C71</f>
        <v>郫都区市场监督管理局</v>
      </c>
      <c r="D93" s="43" t="str">
        <f t="shared" si="5"/>
        <v>9151012468456405XU</v>
      </c>
      <c r="E93" s="43" t="str">
        <f t="shared" si="5"/>
        <v>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600</v>
      </c>
      <c r="L115" s="43"/>
      <c r="M115" s="43"/>
      <c r="N115" s="50"/>
      <c r="O115" s="50"/>
      <c r="P115" s="43"/>
      <c r="Q115" s="43"/>
      <c r="R115" s="43"/>
      <c r="S115" s="43"/>
      <c r="T115" s="43"/>
      <c r="U115" s="43"/>
      <c r="V115" s="43"/>
      <c r="W115" s="43"/>
      <c r="X115" s="43"/>
      <c r="Y115" s="43">
        <f>Y93+Y71+Y49+Y27++Y4</f>
        <v>5.25</v>
      </c>
      <c r="Z115" s="43"/>
      <c r="AA115" s="43"/>
      <c r="AB115" s="43"/>
    </row>
    <row r="116" spans="1:28">
      <c r="I116" s="36" t="s">
        <v>49</v>
      </c>
      <c r="K116" s="36">
        <f>IF(K115&gt;3000,K117,K115)</f>
        <v>600</v>
      </c>
    </row>
    <row r="117" spans="1:28" hidden="1">
      <c r="K117" s="36">
        <f>IF(K116&gt;3000,K118,K116)</f>
        <v>600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C117"/>
  <sheetViews>
    <sheetView zoomScale="80" zoomScaleNormal="80" workbookViewId="0">
      <pane ySplit="3" topLeftCell="A4" activePane="bottomLeft" state="frozen"/>
      <selection pane="bottomLeft" activeCell="B5" sqref="B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成都成维精密机械制造有限公司审计明细表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600</v>
      </c>
      <c r="C4" s="43" t="s">
        <v>1446</v>
      </c>
      <c r="D4" s="43" t="s">
        <v>1501</v>
      </c>
      <c r="E4" s="43" t="s">
        <v>146</v>
      </c>
      <c r="F4" s="43" t="s">
        <v>1454</v>
      </c>
      <c r="G4" s="43" t="s">
        <v>1229</v>
      </c>
      <c r="H4" s="43" t="s">
        <v>71</v>
      </c>
      <c r="I4" s="43" t="s">
        <v>1498</v>
      </c>
      <c r="J4" s="43" t="s">
        <v>73</v>
      </c>
      <c r="K4" s="43">
        <v>310</v>
      </c>
      <c r="L4" s="43" t="s">
        <v>1502</v>
      </c>
      <c r="M4" s="49" t="s">
        <v>1503</v>
      </c>
      <c r="N4" s="65">
        <v>45245</v>
      </c>
      <c r="O4" s="65">
        <v>45291</v>
      </c>
      <c r="P4" s="43">
        <f>P5-N4</f>
        <v>36</v>
      </c>
      <c r="Q4" s="55">
        <f>SUM(Q5:Q26)</f>
        <v>1.05</v>
      </c>
      <c r="R4" s="55">
        <v>0.46500000000000002</v>
      </c>
      <c r="S4" s="43"/>
      <c r="T4" s="55">
        <f>SUM(T5:T26)</f>
        <v>1.05</v>
      </c>
      <c r="U4" s="56">
        <v>3.4000000000000002E-2</v>
      </c>
      <c r="V4" s="50"/>
      <c r="W4" s="43" t="s">
        <v>42</v>
      </c>
      <c r="X4" s="57">
        <v>1.4999999999999999E-2</v>
      </c>
      <c r="Y4" s="43">
        <f>ROUNDDOWN(IF((O4-N4+1)*K4*X4/365&gt;R4,R4,(O4-N4+1)*K4*X4/365),2)</f>
        <v>0.46</v>
      </c>
      <c r="Z4" s="55">
        <f>R4-Y4</f>
        <v>0.01</v>
      </c>
      <c r="AA4" s="55" t="s">
        <v>1263</v>
      </c>
      <c r="AB4" s="43" t="s">
        <v>61</v>
      </c>
    </row>
    <row r="5" spans="1:29" s="35" customFormat="1">
      <c r="A5" s="44"/>
      <c r="B5" s="44"/>
      <c r="C5" s="44"/>
      <c r="D5" s="44"/>
      <c r="E5" s="44"/>
      <c r="F5" s="44"/>
      <c r="G5" s="44"/>
      <c r="H5" s="44"/>
      <c r="I5" s="44"/>
      <c r="J5" s="44"/>
      <c r="K5" s="44"/>
      <c r="L5" s="44"/>
      <c r="M5" s="63"/>
      <c r="N5" s="52"/>
      <c r="O5" s="65">
        <v>45610</v>
      </c>
      <c r="P5" s="53">
        <v>45281</v>
      </c>
      <c r="Q5" s="58">
        <v>1.05</v>
      </c>
      <c r="R5" s="44"/>
      <c r="S5" s="53">
        <v>45281</v>
      </c>
      <c r="T5" s="58">
        <f>(S5-N4)/360*$U$4*$K$4</f>
        <v>1.05</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c r="Q6" s="58"/>
      <c r="R6" s="44"/>
      <c r="S6" s="53"/>
      <c r="T6" s="58"/>
      <c r="U6" s="58"/>
      <c r="V6" s="52"/>
      <c r="W6" s="44"/>
      <c r="X6" s="44"/>
      <c r="Y6" s="44"/>
      <c r="Z6" s="44"/>
      <c r="AA6" s="44"/>
      <c r="AB6" s="44"/>
    </row>
    <row r="7" spans="1:29" s="35" customFormat="1">
      <c r="A7" s="44"/>
      <c r="B7" s="44"/>
      <c r="C7" s="44"/>
      <c r="D7" s="44"/>
      <c r="E7" s="44"/>
      <c r="F7" s="44"/>
      <c r="G7" s="44"/>
      <c r="H7" s="44"/>
      <c r="I7" s="44"/>
      <c r="J7" s="44"/>
      <c r="K7" s="44"/>
      <c r="L7" s="44"/>
      <c r="M7" s="44"/>
      <c r="N7" s="52"/>
      <c r="O7" s="53"/>
      <c r="P7" s="53"/>
      <c r="Q7" s="58"/>
      <c r="R7" s="44"/>
      <c r="S7" s="53"/>
      <c r="T7" s="58"/>
      <c r="U7" s="58"/>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成都成维精密机械制造有限公司</v>
      </c>
      <c r="C27" s="43" t="str">
        <f t="shared" ref="C27:G27" si="0">C4</f>
        <v>郫都区行政审批局</v>
      </c>
      <c r="D27" s="43" t="str">
        <f t="shared" si="0"/>
        <v>915101246721776268</v>
      </c>
      <c r="E27" s="43" t="str">
        <f t="shared" si="0"/>
        <v>有限责任公司</v>
      </c>
      <c r="F27" s="43" t="str">
        <f t="shared" si="0"/>
        <v>郫都区税务局</v>
      </c>
      <c r="G27" s="43" t="str">
        <f t="shared" si="0"/>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成都成维精密机械制造有限公司</v>
      </c>
      <c r="C49" s="43" t="str">
        <f t="shared" ref="C49:G49" si="1">C27</f>
        <v>郫都区行政审批局</v>
      </c>
      <c r="D49" s="43" t="str">
        <f t="shared" si="1"/>
        <v>915101246721776268</v>
      </c>
      <c r="E49" s="43" t="str">
        <f t="shared" si="1"/>
        <v>有限责任公司</v>
      </c>
      <c r="F49" s="43" t="str">
        <f t="shared" si="1"/>
        <v>郫都区税务局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成都成维精密机械制造有限公司</v>
      </c>
      <c r="C71" s="43" t="str">
        <f t="shared" ref="C71:G71" si="2">C49</f>
        <v>郫都区行政审批局</v>
      </c>
      <c r="D71" s="43" t="str">
        <f t="shared" si="2"/>
        <v>915101246721776268</v>
      </c>
      <c r="E71" s="43" t="str">
        <f t="shared" si="2"/>
        <v>有限责任公司</v>
      </c>
      <c r="F71" s="43" t="str">
        <f t="shared" si="2"/>
        <v>郫都区税务局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成都成维精密机械制造有限公司</v>
      </c>
      <c r="C93" s="43" t="str">
        <f t="shared" ref="C93:G93" si="3">C71</f>
        <v>郫都区行政审批局</v>
      </c>
      <c r="D93" s="43" t="str">
        <f t="shared" si="3"/>
        <v>915101246721776268</v>
      </c>
      <c r="E93" s="43" t="str">
        <f t="shared" si="3"/>
        <v>有限责任公司</v>
      </c>
      <c r="F93" s="43" t="str">
        <f t="shared" si="3"/>
        <v>郫都区税务局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310</v>
      </c>
      <c r="L115" s="43"/>
      <c r="M115" s="43"/>
      <c r="N115" s="50"/>
      <c r="O115" s="50"/>
      <c r="P115" s="43"/>
      <c r="Q115" s="43"/>
      <c r="R115" s="43"/>
      <c r="S115" s="43"/>
      <c r="T115" s="43"/>
      <c r="U115" s="43"/>
      <c r="V115" s="43"/>
      <c r="W115" s="43"/>
      <c r="X115" s="43"/>
      <c r="Y115" s="43">
        <f>Y93+Y71+Y49+Y27++Y4</f>
        <v>0.46</v>
      </c>
      <c r="Z115" s="43"/>
      <c r="AA115" s="43"/>
      <c r="AB115" s="43"/>
    </row>
    <row r="116" spans="1:28">
      <c r="I116" s="36" t="s">
        <v>49</v>
      </c>
      <c r="K116" s="36">
        <f>IF(K115&gt;3000,K117,K115)</f>
        <v>310</v>
      </c>
    </row>
    <row r="117" spans="1:28" hidden="1">
      <c r="K117" s="36">
        <f>IF(K116&gt;3000,K118,K116)</f>
        <v>310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AC117"/>
  <sheetViews>
    <sheetView zoomScale="70" zoomScaleNormal="70" workbookViewId="0">
      <pane ySplit="3" topLeftCell="A27" activePane="bottomLeft" state="frozen"/>
      <selection pane="bottomLeft" activeCell="M11" sqref="M11"/>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成都川行科技塑业有限公司审计明细表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601</v>
      </c>
      <c r="C4" s="43" t="s">
        <v>1452</v>
      </c>
      <c r="D4" s="43" t="s">
        <v>1504</v>
      </c>
      <c r="E4" s="43" t="s">
        <v>146</v>
      </c>
      <c r="F4" s="43" t="s">
        <v>1505</v>
      </c>
      <c r="G4" s="43" t="s">
        <v>1229</v>
      </c>
      <c r="H4" s="43" t="s">
        <v>958</v>
      </c>
      <c r="I4" s="43" t="s">
        <v>1480</v>
      </c>
      <c r="J4" s="43" t="s">
        <v>933</v>
      </c>
      <c r="K4" s="43">
        <v>100</v>
      </c>
      <c r="L4" s="43" t="s">
        <v>1506</v>
      </c>
      <c r="M4" s="49" t="s">
        <v>1507</v>
      </c>
      <c r="N4" s="65">
        <v>44847</v>
      </c>
      <c r="O4" s="65">
        <v>45027</v>
      </c>
      <c r="P4" s="43">
        <f>P11-N4</f>
        <v>162</v>
      </c>
      <c r="Q4" s="55">
        <f>SUM(Q5:Q26)</f>
        <v>1.67</v>
      </c>
      <c r="R4" s="55">
        <v>1</v>
      </c>
      <c r="S4" s="43"/>
      <c r="T4" s="55">
        <f>SUM(T5:T26)</f>
        <v>1.67</v>
      </c>
      <c r="U4" s="56">
        <v>3.7199999999999997E-2</v>
      </c>
      <c r="V4" s="50"/>
      <c r="W4" s="43" t="s">
        <v>42</v>
      </c>
      <c r="X4" s="57">
        <v>0.01</v>
      </c>
      <c r="Y4" s="43">
        <f>ROUNDDOWN(IF((O4-N4+1)*K4*X4/365&gt;R4,R4,(O4-N4+1)*K4*X4/365),2)</f>
        <v>0.49</v>
      </c>
      <c r="Z4" s="55">
        <f>R4-Y4</f>
        <v>0.51</v>
      </c>
      <c r="AA4" s="55" t="s">
        <v>485</v>
      </c>
      <c r="AB4" s="43" t="s">
        <v>61</v>
      </c>
    </row>
    <row r="5" spans="1:29" s="35" customFormat="1">
      <c r="A5" s="44"/>
      <c r="B5" s="44"/>
      <c r="C5" s="44"/>
      <c r="D5" s="44"/>
      <c r="E5" s="44"/>
      <c r="F5" s="44"/>
      <c r="G5" s="44"/>
      <c r="H5" s="44"/>
      <c r="I5" s="44"/>
      <c r="J5" s="44"/>
      <c r="K5" s="44"/>
      <c r="L5" s="44"/>
      <c r="M5" s="63"/>
      <c r="N5" s="52"/>
      <c r="O5" s="52"/>
      <c r="P5" s="53">
        <v>44855</v>
      </c>
      <c r="Q5" s="58">
        <v>0.08</v>
      </c>
      <c r="R5" s="44"/>
      <c r="S5" s="53">
        <v>44855</v>
      </c>
      <c r="T5" s="58">
        <f>(S5-N4)/360*$U$4*$K$4</f>
        <v>0.08</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44886</v>
      </c>
      <c r="Q6" s="58">
        <v>0.32</v>
      </c>
      <c r="R6" s="44"/>
      <c r="S6" s="53">
        <v>44886</v>
      </c>
      <c r="T6" s="58">
        <f>(S6-S5)/360*$U$4*$K$4</f>
        <v>0.32</v>
      </c>
      <c r="U6" s="58">
        <f t="shared" ref="U6:U11" si="0">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44916</v>
      </c>
      <c r="Q7" s="58">
        <v>0.31</v>
      </c>
      <c r="R7" s="44"/>
      <c r="S7" s="53">
        <v>44916</v>
      </c>
      <c r="T7" s="58">
        <f t="shared" ref="T7:T11" si="1">(S7-S6)/360*$U$4*$K$4</f>
        <v>0.31</v>
      </c>
      <c r="U7" s="58">
        <f t="shared" si="0"/>
        <v>0</v>
      </c>
      <c r="V7" s="44"/>
      <c r="W7" s="44"/>
      <c r="X7" s="44"/>
      <c r="Y7" s="44"/>
      <c r="Z7" s="44"/>
      <c r="AA7" s="44"/>
      <c r="AB7" s="44"/>
    </row>
    <row r="8" spans="1:29" s="35" customFormat="1">
      <c r="A8" s="44"/>
      <c r="B8" s="44"/>
      <c r="C8" s="44"/>
      <c r="D8" s="44"/>
      <c r="E8" s="44"/>
      <c r="F8" s="44"/>
      <c r="G8" s="44"/>
      <c r="H8" s="44"/>
      <c r="I8" s="44"/>
      <c r="J8" s="44"/>
      <c r="K8" s="44"/>
      <c r="L8" s="44"/>
      <c r="M8" s="44"/>
      <c r="N8" s="52"/>
      <c r="O8" s="52"/>
      <c r="P8" s="53">
        <v>44947</v>
      </c>
      <c r="Q8" s="58">
        <v>0.32</v>
      </c>
      <c r="R8" s="44"/>
      <c r="S8" s="53">
        <v>44947</v>
      </c>
      <c r="T8" s="58">
        <f t="shared" si="1"/>
        <v>0.32</v>
      </c>
      <c r="U8" s="58">
        <f t="shared" si="0"/>
        <v>0</v>
      </c>
      <c r="V8" s="44"/>
      <c r="W8" s="44"/>
      <c r="X8" s="44"/>
      <c r="Y8" s="44"/>
      <c r="Z8" s="44"/>
      <c r="AA8" s="44"/>
      <c r="AB8" s="44"/>
    </row>
    <row r="9" spans="1:29" s="35" customFormat="1">
      <c r="A9" s="44"/>
      <c r="B9" s="44"/>
      <c r="C9" s="44"/>
      <c r="D9" s="44"/>
      <c r="E9" s="44"/>
      <c r="F9" s="44"/>
      <c r="G9" s="44"/>
      <c r="H9" s="44"/>
      <c r="I9" s="44"/>
      <c r="J9" s="44"/>
      <c r="K9" s="44"/>
      <c r="L9" s="44"/>
      <c r="M9" s="44"/>
      <c r="N9" s="52"/>
      <c r="O9" s="52"/>
      <c r="P9" s="53">
        <v>44978</v>
      </c>
      <c r="Q9" s="58">
        <v>0.32</v>
      </c>
      <c r="R9" s="44"/>
      <c r="S9" s="53">
        <v>44978</v>
      </c>
      <c r="T9" s="58">
        <f t="shared" si="1"/>
        <v>0.32</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45006</v>
      </c>
      <c r="Q10" s="58">
        <v>0.28999999999999998</v>
      </c>
      <c r="R10" s="44"/>
      <c r="S10" s="53">
        <v>45006</v>
      </c>
      <c r="T10" s="58">
        <f t="shared" si="1"/>
        <v>0.28999999999999998</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45009</v>
      </c>
      <c r="Q11" s="58">
        <v>0.03</v>
      </c>
      <c r="R11" s="44"/>
      <c r="S11" s="53">
        <v>45009</v>
      </c>
      <c r="T11" s="58">
        <f t="shared" si="1"/>
        <v>0.03</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c r="A27" s="43">
        <v>2</v>
      </c>
      <c r="B27" s="43" t="str">
        <f>B4</f>
        <v>成都川行科技塑业有限公司</v>
      </c>
      <c r="C27" s="43" t="str">
        <f t="shared" ref="C27:G27" si="2">C4</f>
        <v>郫都区市场监督管理局</v>
      </c>
      <c r="D27" s="43" t="str">
        <f t="shared" si="2"/>
        <v>91510124782652176P</v>
      </c>
      <c r="E27" s="43" t="str">
        <f t="shared" si="2"/>
        <v>有限责任公司</v>
      </c>
      <c r="F27" s="43" t="str">
        <f t="shared" si="2"/>
        <v>成都市郫都区税务局　</v>
      </c>
      <c r="G27" s="43" t="str">
        <f t="shared" si="2"/>
        <v>收款账号：511610018010210321008
开户行：交通银行成都双流棠湖支行</v>
      </c>
      <c r="H27" s="43" t="s">
        <v>958</v>
      </c>
      <c r="I27" s="43" t="s">
        <v>1508</v>
      </c>
      <c r="J27" s="43" t="s">
        <v>73</v>
      </c>
      <c r="K27" s="43">
        <v>200</v>
      </c>
      <c r="L27" s="43" t="s">
        <v>1509</v>
      </c>
      <c r="M27" s="43" t="s">
        <v>1510</v>
      </c>
      <c r="N27" s="50">
        <v>44897</v>
      </c>
      <c r="O27" s="50">
        <v>45239</v>
      </c>
      <c r="P27" s="43">
        <f>P38-N27</f>
        <v>342</v>
      </c>
      <c r="Q27" s="55">
        <f>SUM(Q28:Q38)</f>
        <v>7.3</v>
      </c>
      <c r="R27" s="43">
        <v>2</v>
      </c>
      <c r="S27" s="43"/>
      <c r="T27" s="55">
        <f>SUM(T28:T38)</f>
        <v>7.3</v>
      </c>
      <c r="U27" s="56">
        <v>3.85E-2</v>
      </c>
      <c r="V27" s="50"/>
      <c r="W27" s="43" t="s">
        <v>1511</v>
      </c>
      <c r="X27" s="64">
        <v>0.01</v>
      </c>
      <c r="Y27" s="43">
        <f>ROUNDDOWN(IF((O27-N27+1)*K27*X27/365&gt;R27,R27,(O27-N27+1)*K27*X27/365),2)</f>
        <v>1.87</v>
      </c>
      <c r="Z27" s="43">
        <f>R27-Y27</f>
        <v>0.13</v>
      </c>
      <c r="AA27" s="43" t="s">
        <v>108</v>
      </c>
      <c r="AB27" s="43" t="s">
        <v>61</v>
      </c>
    </row>
    <row r="28" spans="1:28" s="35" customFormat="1">
      <c r="A28" s="44"/>
      <c r="B28" s="44"/>
      <c r="C28" s="44"/>
      <c r="D28" s="44"/>
      <c r="E28" s="44"/>
      <c r="F28" s="44"/>
      <c r="G28" s="44"/>
      <c r="H28" s="44"/>
      <c r="I28" s="44"/>
      <c r="J28" s="44"/>
      <c r="K28" s="44"/>
      <c r="L28" s="44"/>
      <c r="M28" s="44"/>
      <c r="N28" s="52"/>
      <c r="O28" s="52"/>
      <c r="P28" s="53">
        <v>44947</v>
      </c>
      <c r="Q28" s="58">
        <v>1.07</v>
      </c>
      <c r="R28" s="44"/>
      <c r="S28" s="53">
        <v>44947</v>
      </c>
      <c r="T28" s="58">
        <f>(S28-N27)/360*$U$27*$K$27</f>
        <v>1.07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44978</v>
      </c>
      <c r="Q29" s="58">
        <v>0.66</v>
      </c>
      <c r="R29" s="44"/>
      <c r="S29" s="53">
        <v>44978</v>
      </c>
      <c r="T29" s="58">
        <f>(S29-S28)/360*$U$27*$K$27</f>
        <v>0.66</v>
      </c>
      <c r="U29" s="58">
        <f t="shared" ref="U29:U38" si="3">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45006</v>
      </c>
      <c r="Q30" s="58">
        <v>0.6</v>
      </c>
      <c r="R30" s="44"/>
      <c r="S30" s="53">
        <v>45006</v>
      </c>
      <c r="T30" s="58">
        <f t="shared" ref="T30:T38" si="4">(S30-S29)/360*$U$27*$K$27</f>
        <v>0.6</v>
      </c>
      <c r="U30" s="58">
        <f t="shared" si="3"/>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45037</v>
      </c>
      <c r="Q31" s="58">
        <v>0.66</v>
      </c>
      <c r="R31" s="44"/>
      <c r="S31" s="53">
        <v>45037</v>
      </c>
      <c r="T31" s="58">
        <f t="shared" si="4"/>
        <v>0.66</v>
      </c>
      <c r="U31" s="58">
        <f t="shared" si="3"/>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45067</v>
      </c>
      <c r="Q32" s="58">
        <v>0.64</v>
      </c>
      <c r="R32" s="44"/>
      <c r="S32" s="53">
        <v>45067</v>
      </c>
      <c r="T32" s="58">
        <f t="shared" si="4"/>
        <v>0.64</v>
      </c>
      <c r="U32" s="58">
        <f t="shared" si="3"/>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45098</v>
      </c>
      <c r="Q33" s="58">
        <v>0.66</v>
      </c>
      <c r="R33" s="44"/>
      <c r="S33" s="53">
        <v>45098</v>
      </c>
      <c r="T33" s="58">
        <f t="shared" si="4"/>
        <v>0.66</v>
      </c>
      <c r="U33" s="58">
        <f t="shared" si="3"/>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45128</v>
      </c>
      <c r="Q34" s="58">
        <v>0.64</v>
      </c>
      <c r="R34" s="44"/>
      <c r="S34" s="53">
        <v>45128</v>
      </c>
      <c r="T34" s="58">
        <f t="shared" si="4"/>
        <v>0.64</v>
      </c>
      <c r="U34" s="58">
        <f t="shared" si="3"/>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45159</v>
      </c>
      <c r="Q35" s="58">
        <v>0.66</v>
      </c>
      <c r="R35" s="44"/>
      <c r="S35" s="53">
        <v>45159</v>
      </c>
      <c r="T35" s="58">
        <f t="shared" si="4"/>
        <v>0.66</v>
      </c>
      <c r="U35" s="58">
        <f t="shared" si="3"/>
        <v>0</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45190</v>
      </c>
      <c r="Q36" s="58">
        <v>0.66</v>
      </c>
      <c r="R36" s="44"/>
      <c r="S36" s="53">
        <v>45190</v>
      </c>
      <c r="T36" s="58">
        <f t="shared" si="4"/>
        <v>0.66</v>
      </c>
      <c r="U36" s="58">
        <f t="shared" si="3"/>
        <v>0</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45220</v>
      </c>
      <c r="Q37" s="58">
        <v>0.64</v>
      </c>
      <c r="R37" s="44"/>
      <c r="S37" s="53">
        <v>45220</v>
      </c>
      <c r="T37" s="58">
        <f t="shared" si="4"/>
        <v>0.64</v>
      </c>
      <c r="U37" s="58">
        <f t="shared" si="3"/>
        <v>0</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45239</v>
      </c>
      <c r="Q38" s="58">
        <v>0.41</v>
      </c>
      <c r="R38" s="44"/>
      <c r="S38" s="53">
        <v>45239</v>
      </c>
      <c r="T38" s="58">
        <f t="shared" si="4"/>
        <v>0.41</v>
      </c>
      <c r="U38" s="58">
        <f t="shared" si="3"/>
        <v>0</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成都川行科技塑业有限公司</v>
      </c>
      <c r="C49" s="43" t="str">
        <f t="shared" ref="C49:G49" si="5">C27</f>
        <v>郫都区市场监督管理局</v>
      </c>
      <c r="D49" s="43" t="str">
        <f t="shared" si="5"/>
        <v>91510124782652176P</v>
      </c>
      <c r="E49" s="43" t="str">
        <f t="shared" si="5"/>
        <v>有限责任公司</v>
      </c>
      <c r="F49" s="43" t="str">
        <f t="shared" si="5"/>
        <v>成都市郫都区税务局　</v>
      </c>
      <c r="G49" s="43" t="str">
        <f t="shared" si="5"/>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成都川行科技塑业有限公司</v>
      </c>
      <c r="C71" s="43" t="str">
        <f t="shared" ref="C71:G71" si="6">C49</f>
        <v>郫都区市场监督管理局</v>
      </c>
      <c r="D71" s="43" t="str">
        <f t="shared" si="6"/>
        <v>91510124782652176P</v>
      </c>
      <c r="E71" s="43" t="str">
        <f t="shared" si="6"/>
        <v>有限责任公司</v>
      </c>
      <c r="F71" s="43" t="str">
        <f t="shared" si="6"/>
        <v>成都市郫都区税务局　</v>
      </c>
      <c r="G71" s="43" t="str">
        <f t="shared" si="6"/>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成都川行科技塑业有限公司</v>
      </c>
      <c r="C93" s="43" t="str">
        <f t="shared" ref="C93:G93" si="7">C71</f>
        <v>郫都区市场监督管理局</v>
      </c>
      <c r="D93" s="43" t="str">
        <f t="shared" si="7"/>
        <v>91510124782652176P</v>
      </c>
      <c r="E93" s="43" t="str">
        <f t="shared" si="7"/>
        <v>有限责任公司</v>
      </c>
      <c r="F93" s="43" t="str">
        <f t="shared" si="7"/>
        <v>成都市郫都区税务局　</v>
      </c>
      <c r="G93" s="43" t="str">
        <f t="shared" si="7"/>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v>
      </c>
      <c r="L115" s="43"/>
      <c r="M115" s="43"/>
      <c r="N115" s="50"/>
      <c r="O115" s="50"/>
      <c r="P115" s="43"/>
      <c r="Q115" s="43"/>
      <c r="R115" s="43"/>
      <c r="S115" s="43"/>
      <c r="T115" s="43"/>
      <c r="U115" s="43"/>
      <c r="V115" s="43"/>
      <c r="W115" s="43"/>
      <c r="X115" s="43"/>
      <c r="Y115" s="43">
        <f>Y93+Y71+Y49+Y27++Y4</f>
        <v>2.36</v>
      </c>
      <c r="Z115" s="43"/>
      <c r="AA115" s="43"/>
      <c r="AB115" s="43"/>
    </row>
    <row r="116" spans="1:28">
      <c r="I116" s="36" t="s">
        <v>49</v>
      </c>
      <c r="K116" s="36">
        <f>IF(K115&gt;3000,K117,K115)</f>
        <v>300</v>
      </c>
    </row>
    <row r="117" spans="1:28" hidden="1">
      <c r="K117" s="36">
        <f>IF(K116&gt;3000,K118,K116)</f>
        <v>300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AC117"/>
  <sheetViews>
    <sheetView topLeftCell="H1" zoomScale="70" zoomScaleNormal="70" workbookViewId="0">
      <pane ySplit="3" topLeftCell="A4" activePane="bottomLeft" state="frozen"/>
      <selection pane="bottomLeft" activeCell="Y10" sqref="Y10"/>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四川艾贝斯科技发展有限公司审计明细表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692</v>
      </c>
      <c r="C4" s="43" t="s">
        <v>1512</v>
      </c>
      <c r="D4" s="43" t="s">
        <v>1513</v>
      </c>
      <c r="E4" s="43" t="s">
        <v>146</v>
      </c>
      <c r="F4" s="43" t="s">
        <v>1454</v>
      </c>
      <c r="G4" s="43" t="s">
        <v>1229</v>
      </c>
      <c r="H4" s="43" t="s">
        <v>958</v>
      </c>
      <c r="I4" s="43" t="s">
        <v>1448</v>
      </c>
      <c r="J4" s="43" t="s">
        <v>933</v>
      </c>
      <c r="K4" s="43">
        <v>160</v>
      </c>
      <c r="L4" s="43" t="s">
        <v>1514</v>
      </c>
      <c r="M4" s="49" t="s">
        <v>1515</v>
      </c>
      <c r="N4" s="65">
        <v>44907</v>
      </c>
      <c r="O4" s="65">
        <v>45082</v>
      </c>
      <c r="P4" s="43">
        <f>P5-N4</f>
        <v>175</v>
      </c>
      <c r="Q4" s="55">
        <f>SUM(Q5:Q26)</f>
        <v>2.74</v>
      </c>
      <c r="R4" s="55">
        <v>0.77</v>
      </c>
      <c r="S4" s="43"/>
      <c r="T4" s="55">
        <f>SUM(T5:T26)</f>
        <v>2.84</v>
      </c>
      <c r="U4" s="56">
        <v>3.6499999999999998E-2</v>
      </c>
      <c r="V4" s="50"/>
      <c r="W4" s="43" t="s">
        <v>1516</v>
      </c>
      <c r="X4" s="57">
        <v>0.01</v>
      </c>
      <c r="Y4" s="43">
        <f>ROUNDDOWN(IF((O4-N4+1)*K4*X4/365&gt;R4,R4,(O4-N4+1)*K4*X4/365),2)</f>
        <v>0.77</v>
      </c>
      <c r="Z4" s="55">
        <f>R4-Y4</f>
        <v>0</v>
      </c>
      <c r="AA4" s="55"/>
      <c r="AB4" s="43" t="s">
        <v>61</v>
      </c>
    </row>
    <row r="5" spans="1:29" s="35" customFormat="1">
      <c r="A5" s="44"/>
      <c r="B5" s="44"/>
      <c r="C5" s="44"/>
      <c r="D5" s="44"/>
      <c r="E5" s="44"/>
      <c r="F5" s="44"/>
      <c r="G5" s="44"/>
      <c r="H5" s="44"/>
      <c r="I5" s="44"/>
      <c r="J5" s="44"/>
      <c r="K5" s="44"/>
      <c r="L5" s="44"/>
      <c r="M5" s="63"/>
      <c r="N5" s="52"/>
      <c r="O5" s="65"/>
      <c r="P5" s="53">
        <v>45082</v>
      </c>
      <c r="Q5" s="58">
        <v>2.74</v>
      </c>
      <c r="R5" s="44"/>
      <c r="S5" s="53">
        <v>45082</v>
      </c>
      <c r="T5" s="58">
        <f>(S5-N4)/360*$U$4*$K$4</f>
        <v>2.84</v>
      </c>
      <c r="U5" s="58">
        <f>T5-Q5</f>
        <v>0.1</v>
      </c>
      <c r="V5" s="52"/>
      <c r="W5" s="44"/>
      <c r="X5" s="44"/>
      <c r="Y5" s="44"/>
      <c r="Z5" s="44"/>
      <c r="AA5" s="44"/>
      <c r="AB5" s="44"/>
    </row>
    <row r="6" spans="1:29" s="35" customFormat="1">
      <c r="A6" s="44"/>
      <c r="B6" s="44"/>
      <c r="C6" s="44"/>
      <c r="D6" s="44"/>
      <c r="E6" s="44"/>
      <c r="F6" s="44"/>
      <c r="G6" s="44"/>
      <c r="H6" s="44"/>
      <c r="I6" s="44"/>
      <c r="J6" s="44"/>
      <c r="K6" s="44"/>
      <c r="L6" s="44"/>
      <c r="M6" s="63"/>
      <c r="N6" s="52"/>
      <c r="O6" s="53"/>
      <c r="P6" s="53"/>
      <c r="Q6" s="58"/>
      <c r="R6" s="44"/>
      <c r="S6" s="53"/>
      <c r="T6" s="58"/>
      <c r="U6" s="58"/>
      <c r="V6" s="52"/>
      <c r="W6" s="44"/>
      <c r="X6" s="44"/>
      <c r="Y6" s="44"/>
      <c r="Z6" s="44"/>
      <c r="AA6" s="44"/>
      <c r="AB6" s="44"/>
    </row>
    <row r="7" spans="1:29" s="35" customFormat="1">
      <c r="A7" s="44"/>
      <c r="B7" s="44"/>
      <c r="C7" s="44"/>
      <c r="D7" s="44"/>
      <c r="E7" s="44"/>
      <c r="F7" s="44"/>
      <c r="G7" s="44"/>
      <c r="H7" s="44"/>
      <c r="I7" s="44"/>
      <c r="J7" s="44"/>
      <c r="K7" s="44"/>
      <c r="L7" s="44"/>
      <c r="M7" s="44"/>
      <c r="N7" s="52"/>
      <c r="O7" s="53"/>
      <c r="P7" s="53"/>
      <c r="Q7" s="58"/>
      <c r="R7" s="44"/>
      <c r="S7" s="53"/>
      <c r="T7" s="58"/>
      <c r="U7" s="58"/>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四川艾贝斯科技发展有限公司</v>
      </c>
      <c r="C27" s="43" t="str">
        <f t="shared" ref="C27:G27" si="0">C4</f>
        <v>郫都区行政审批局　</v>
      </c>
      <c r="D27" s="43" t="str">
        <f t="shared" si="0"/>
        <v>91510124MA6C5QRW0D</v>
      </c>
      <c r="E27" s="43" t="str">
        <f t="shared" si="0"/>
        <v>有限责任公司</v>
      </c>
      <c r="F27" s="43" t="str">
        <f t="shared" si="0"/>
        <v>郫都区税务局</v>
      </c>
      <c r="G27" s="43" t="str">
        <f t="shared" si="0"/>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四川艾贝斯科技发展有限公司</v>
      </c>
      <c r="C49" s="43" t="str">
        <f t="shared" ref="C49:G49" si="1">C27</f>
        <v>郫都区行政审批局　</v>
      </c>
      <c r="D49" s="43" t="str">
        <f t="shared" si="1"/>
        <v>91510124MA6C5QRW0D</v>
      </c>
      <c r="E49" s="43" t="str">
        <f t="shared" si="1"/>
        <v>有限责任公司</v>
      </c>
      <c r="F49" s="43" t="str">
        <f t="shared" si="1"/>
        <v>郫都区税务局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四川艾贝斯科技发展有限公司</v>
      </c>
      <c r="C71" s="43" t="str">
        <f t="shared" ref="C71:G71" si="2">C49</f>
        <v>郫都区行政审批局　</v>
      </c>
      <c r="D71" s="43" t="str">
        <f t="shared" si="2"/>
        <v>91510124MA6C5QRW0D</v>
      </c>
      <c r="E71" s="43" t="str">
        <f t="shared" si="2"/>
        <v>有限责任公司</v>
      </c>
      <c r="F71" s="43" t="str">
        <f t="shared" si="2"/>
        <v>郫都区税务局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四川艾贝斯科技发展有限公司</v>
      </c>
      <c r="C93" s="43" t="str">
        <f t="shared" ref="C93:G93" si="3">C71</f>
        <v>郫都区行政审批局　</v>
      </c>
      <c r="D93" s="43" t="str">
        <f t="shared" si="3"/>
        <v>91510124MA6C5QRW0D</v>
      </c>
      <c r="E93" s="43" t="str">
        <f t="shared" si="3"/>
        <v>有限责任公司</v>
      </c>
      <c r="F93" s="43" t="str">
        <f t="shared" si="3"/>
        <v>郫都区税务局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160</v>
      </c>
      <c r="L115" s="43"/>
      <c r="M115" s="43"/>
      <c r="N115" s="50"/>
      <c r="O115" s="50"/>
      <c r="P115" s="43"/>
      <c r="Q115" s="43"/>
      <c r="R115" s="43"/>
      <c r="S115" s="43"/>
      <c r="T115" s="43"/>
      <c r="U115" s="43"/>
      <c r="V115" s="43"/>
      <c r="W115" s="43"/>
      <c r="X115" s="43"/>
      <c r="Y115" s="43">
        <f>Y93+Y71+Y49+Y27++Y4</f>
        <v>0.77</v>
      </c>
      <c r="Z115" s="43"/>
      <c r="AA115" s="43"/>
      <c r="AB115" s="43"/>
    </row>
    <row r="116" spans="1:28">
      <c r="I116" s="36" t="s">
        <v>49</v>
      </c>
      <c r="K116" s="36">
        <f>IF(K115&gt;3000,K117,K115)</f>
        <v>160</v>
      </c>
    </row>
    <row r="117" spans="1:28" hidden="1">
      <c r="K117" s="36">
        <f>IF(K116&gt;3000,K118,K116)</f>
        <v>160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AC117"/>
  <sheetViews>
    <sheetView topLeftCell="H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成都南头科技有限公司审计明细表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640</v>
      </c>
      <c r="C4" s="43" t="s">
        <v>1446</v>
      </c>
      <c r="D4" s="43" t="s">
        <v>1517</v>
      </c>
      <c r="E4" s="43" t="s">
        <v>146</v>
      </c>
      <c r="F4" s="43" t="s">
        <v>1518</v>
      </c>
      <c r="G4" s="43" t="s">
        <v>1229</v>
      </c>
      <c r="H4" s="43" t="s">
        <v>156</v>
      </c>
      <c r="I4" s="43" t="s">
        <v>1519</v>
      </c>
      <c r="J4" s="43" t="s">
        <v>73</v>
      </c>
      <c r="K4" s="43">
        <v>1800</v>
      </c>
      <c r="L4" s="43" t="s">
        <v>1520</v>
      </c>
      <c r="M4" s="49" t="s">
        <v>1521</v>
      </c>
      <c r="N4" s="65">
        <v>44999</v>
      </c>
      <c r="O4" s="65">
        <v>45291</v>
      </c>
      <c r="P4" s="43">
        <f>P15-N4</f>
        <v>312</v>
      </c>
      <c r="Q4" s="55">
        <f>SUM(Q5:Q26)</f>
        <v>72.55</v>
      </c>
      <c r="R4" s="55">
        <v>28.55</v>
      </c>
      <c r="S4" s="43"/>
      <c r="T4" s="55">
        <f>SUM(T5:T26)</f>
        <v>72.58</v>
      </c>
      <c r="U4" s="56">
        <v>4.65E-2</v>
      </c>
      <c r="V4" s="50"/>
      <c r="W4" s="43" t="s">
        <v>42</v>
      </c>
      <c r="X4" s="57">
        <v>0.02</v>
      </c>
      <c r="Y4" s="43">
        <f>ROUNDDOWN(IF((O4-N4+1)*K4*X4/365&gt;R4,R4,(O4-N4+1)*K4*X4/365),2)</f>
        <v>28.55</v>
      </c>
      <c r="Z4" s="55">
        <f>R4-Y4</f>
        <v>0</v>
      </c>
      <c r="AA4" s="55"/>
      <c r="AB4" s="43" t="s">
        <v>61</v>
      </c>
    </row>
    <row r="5" spans="1:29" s="35" customFormat="1">
      <c r="A5" s="44"/>
      <c r="B5" s="44"/>
      <c r="C5" s="44"/>
      <c r="D5" s="44"/>
      <c r="E5" s="44"/>
      <c r="F5" s="44"/>
      <c r="G5" s="44"/>
      <c r="H5" s="44"/>
      <c r="I5" s="44"/>
      <c r="J5" s="44"/>
      <c r="K5" s="44"/>
      <c r="L5" s="44"/>
      <c r="M5" s="63"/>
      <c r="N5" s="52"/>
      <c r="O5" s="65">
        <v>45364</v>
      </c>
      <c r="P5" s="53">
        <v>45005</v>
      </c>
      <c r="Q5" s="58">
        <v>1.395</v>
      </c>
      <c r="R5" s="44"/>
      <c r="S5" s="53">
        <v>45005</v>
      </c>
      <c r="T5" s="58">
        <f>(S5-N4)/360*$U$4*$K$4</f>
        <v>1.4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45036</v>
      </c>
      <c r="Q6" s="58">
        <v>7.21</v>
      </c>
      <c r="R6" s="44"/>
      <c r="S6" s="53">
        <v>45036</v>
      </c>
      <c r="T6" s="58">
        <f>(S6-S5)/360*$U$4*$K$4</f>
        <v>7.21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45066</v>
      </c>
      <c r="Q7" s="58">
        <v>6.9749999999999996</v>
      </c>
      <c r="R7" s="44"/>
      <c r="S7" s="53">
        <v>45066</v>
      </c>
      <c r="T7" s="58">
        <f>(S7-S6)*$K$4*$U$4/360</f>
        <v>6.98</v>
      </c>
      <c r="U7" s="58">
        <f>T7-Q7</f>
        <v>0.01</v>
      </c>
      <c r="V7" s="44"/>
      <c r="W7" s="44"/>
      <c r="X7" s="44"/>
      <c r="Y7" s="44"/>
      <c r="Z7" s="44"/>
      <c r="AA7" s="44"/>
      <c r="AB7" s="44"/>
    </row>
    <row r="8" spans="1:29" s="35" customFormat="1">
      <c r="A8" s="44"/>
      <c r="B8" s="44"/>
      <c r="C8" s="44"/>
      <c r="D8" s="44"/>
      <c r="E8" s="44"/>
      <c r="F8" s="44"/>
      <c r="G8" s="44"/>
      <c r="H8" s="44"/>
      <c r="I8" s="44"/>
      <c r="J8" s="44"/>
      <c r="K8" s="44"/>
      <c r="L8" s="44"/>
      <c r="M8" s="44"/>
      <c r="N8" s="52"/>
      <c r="O8" s="52"/>
      <c r="P8" s="53">
        <v>45097</v>
      </c>
      <c r="Q8" s="58">
        <v>7.21</v>
      </c>
      <c r="R8" s="44"/>
      <c r="S8" s="53">
        <v>45097</v>
      </c>
      <c r="T8" s="58">
        <f t="shared" ref="T8:T15" si="0">(S8-S7)*$K$4*$U$4/360</f>
        <v>7.21</v>
      </c>
      <c r="U8" s="58">
        <f t="shared" ref="U8:U15"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45127</v>
      </c>
      <c r="Q9" s="58">
        <v>6.9749999999999996</v>
      </c>
      <c r="R9" s="44"/>
      <c r="S9" s="53">
        <v>45127</v>
      </c>
      <c r="T9" s="58">
        <f t="shared" si="0"/>
        <v>6.98</v>
      </c>
      <c r="U9" s="58">
        <f t="shared" si="1"/>
        <v>0.01</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45158</v>
      </c>
      <c r="Q10" s="58">
        <v>7.21</v>
      </c>
      <c r="R10" s="44"/>
      <c r="S10" s="53">
        <v>45158</v>
      </c>
      <c r="T10" s="58">
        <f t="shared" si="0"/>
        <v>7.21</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45189</v>
      </c>
      <c r="Q11" s="58">
        <v>7.21</v>
      </c>
      <c r="R11" s="44"/>
      <c r="S11" s="53">
        <v>45189</v>
      </c>
      <c r="T11" s="58">
        <f t="shared" si="0"/>
        <v>7.21</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45219</v>
      </c>
      <c r="Q12" s="58">
        <v>6.9749999999999996</v>
      </c>
      <c r="R12" s="44"/>
      <c r="S12" s="53">
        <v>45219</v>
      </c>
      <c r="T12" s="58">
        <f t="shared" si="0"/>
        <v>6.98</v>
      </c>
      <c r="U12" s="58">
        <f t="shared" si="1"/>
        <v>0.01</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45250</v>
      </c>
      <c r="Q13" s="58">
        <v>7.21</v>
      </c>
      <c r="R13" s="44"/>
      <c r="S13" s="53">
        <v>45250</v>
      </c>
      <c r="T13" s="58">
        <f t="shared" si="0"/>
        <v>7.21</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45280</v>
      </c>
      <c r="Q14" s="58">
        <v>6.9749999999999996</v>
      </c>
      <c r="R14" s="44"/>
      <c r="S14" s="53">
        <v>45280</v>
      </c>
      <c r="T14" s="58">
        <f t="shared" si="0"/>
        <v>6.98</v>
      </c>
      <c r="U14" s="58">
        <f t="shared" si="1"/>
        <v>0.01</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45311</v>
      </c>
      <c r="Q15" s="58">
        <v>7.2074999999999996</v>
      </c>
      <c r="R15" s="44"/>
      <c r="S15" s="53">
        <v>45311</v>
      </c>
      <c r="T15" s="58">
        <f t="shared" si="0"/>
        <v>7.21</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成都南头科技有限公司</v>
      </c>
      <c r="C27" s="43" t="str">
        <f t="shared" ref="C27:G27" si="2">C4</f>
        <v>郫都区行政审批局</v>
      </c>
      <c r="D27" s="43" t="str">
        <f t="shared" si="2"/>
        <v>915101240500540015M</v>
      </c>
      <c r="E27" s="43" t="str">
        <f t="shared" si="2"/>
        <v>有限责任公司</v>
      </c>
      <c r="F27" s="43" t="str">
        <f t="shared" si="2"/>
        <v>郫都区国家税务局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成都南头科技有限公司</v>
      </c>
      <c r="C49" s="43" t="str">
        <f t="shared" ref="C49:G49" si="3">C27</f>
        <v>郫都区行政审批局</v>
      </c>
      <c r="D49" s="43" t="str">
        <f t="shared" si="3"/>
        <v>915101240500540015M</v>
      </c>
      <c r="E49" s="43" t="str">
        <f t="shared" si="3"/>
        <v>有限责任公司</v>
      </c>
      <c r="F49" s="43" t="str">
        <f t="shared" si="3"/>
        <v>郫都区国家税务局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成都南头科技有限公司</v>
      </c>
      <c r="C71" s="43" t="str">
        <f t="shared" ref="C71:G71" si="4">C49</f>
        <v>郫都区行政审批局</v>
      </c>
      <c r="D71" s="43" t="str">
        <f t="shared" si="4"/>
        <v>915101240500540015M</v>
      </c>
      <c r="E71" s="43" t="str">
        <f t="shared" si="4"/>
        <v>有限责任公司</v>
      </c>
      <c r="F71" s="43" t="str">
        <f t="shared" si="4"/>
        <v>郫都区国家税务局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成都南头科技有限公司</v>
      </c>
      <c r="C93" s="43" t="str">
        <f t="shared" ref="C93:G93" si="5">C71</f>
        <v>郫都区行政审批局</v>
      </c>
      <c r="D93" s="43" t="str">
        <f t="shared" si="5"/>
        <v>915101240500540015M</v>
      </c>
      <c r="E93" s="43" t="str">
        <f t="shared" si="5"/>
        <v>有限责任公司</v>
      </c>
      <c r="F93" s="43" t="str">
        <f t="shared" si="5"/>
        <v>郫都区国家税务局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1800</v>
      </c>
      <c r="L115" s="43"/>
      <c r="M115" s="43"/>
      <c r="N115" s="50"/>
      <c r="O115" s="50"/>
      <c r="P115" s="43"/>
      <c r="Q115" s="43"/>
      <c r="R115" s="43"/>
      <c r="S115" s="43"/>
      <c r="T115" s="43"/>
      <c r="U115" s="43"/>
      <c r="V115" s="43"/>
      <c r="W115" s="43"/>
      <c r="X115" s="43"/>
      <c r="Y115" s="43">
        <f>Y93+Y71+Y49+Y27++Y4</f>
        <v>28.55</v>
      </c>
      <c r="Z115" s="43"/>
      <c r="AA115" s="43"/>
      <c r="AB115" s="43"/>
    </row>
    <row r="116" spans="1:28">
      <c r="I116" s="36" t="s">
        <v>49</v>
      </c>
      <c r="K116" s="36">
        <f>IF(K115&gt;3000,K117,K115)</f>
        <v>1800</v>
      </c>
    </row>
    <row r="117" spans="1:28" hidden="1">
      <c r="K117" s="36">
        <f>IF(K116&gt;3000,K118,K116)</f>
        <v>1800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C117"/>
  <sheetViews>
    <sheetView topLeftCell="O1"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成都鑫三合机电新技术开发有限公司审计明细表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674</v>
      </c>
      <c r="C4" s="43" t="s">
        <v>1452</v>
      </c>
      <c r="D4" s="43" t="s">
        <v>1522</v>
      </c>
      <c r="E4" s="43" t="s">
        <v>121</v>
      </c>
      <c r="F4" s="43" t="s">
        <v>1454</v>
      </c>
      <c r="G4" s="43" t="s">
        <v>1229</v>
      </c>
      <c r="H4" s="43" t="s">
        <v>71</v>
      </c>
      <c r="I4" s="43" t="s">
        <v>411</v>
      </c>
      <c r="J4" s="43" t="s">
        <v>73</v>
      </c>
      <c r="K4" s="43">
        <v>1000</v>
      </c>
      <c r="L4" s="43" t="s">
        <v>1523</v>
      </c>
      <c r="M4" s="49" t="s">
        <v>1524</v>
      </c>
      <c r="N4" s="65">
        <v>44859</v>
      </c>
      <c r="O4" s="65">
        <v>45216</v>
      </c>
      <c r="P4" s="43">
        <f>P16-N4</f>
        <v>357</v>
      </c>
      <c r="Q4" s="55">
        <f>SUM(Q5:Q26)</f>
        <v>38.67</v>
      </c>
      <c r="R4" s="55">
        <v>15</v>
      </c>
      <c r="S4" s="43"/>
      <c r="T4" s="55">
        <f>SUM(T5:T26)</f>
        <v>38.69</v>
      </c>
      <c r="U4" s="56">
        <v>3.9E-2</v>
      </c>
      <c r="V4" s="50"/>
      <c r="W4" s="43" t="s">
        <v>1525</v>
      </c>
      <c r="X4" s="57">
        <v>1.4999999999999999E-2</v>
      </c>
      <c r="Y4" s="43">
        <f>ROUNDDOWN(IF((O4-N4+1)*K4*X4/365&gt;R4,R4,(O4-N4+1)*K4*X4/365),2)</f>
        <v>14.71</v>
      </c>
      <c r="Z4" s="55">
        <f>R4-Y4</f>
        <v>0.28999999999999998</v>
      </c>
      <c r="AA4" s="55"/>
      <c r="AB4" s="43" t="s">
        <v>61</v>
      </c>
    </row>
    <row r="5" spans="1:29" s="35" customFormat="1">
      <c r="A5" s="44"/>
      <c r="B5" s="44"/>
      <c r="C5" s="44"/>
      <c r="D5" s="44"/>
      <c r="E5" s="44"/>
      <c r="F5" s="44"/>
      <c r="G5" s="44"/>
      <c r="H5" s="44"/>
      <c r="I5" s="44"/>
      <c r="J5" s="44"/>
      <c r="K5" s="44"/>
      <c r="L5" s="44"/>
      <c r="M5" s="63"/>
      <c r="N5" s="52"/>
      <c r="O5" s="65"/>
      <c r="P5" s="53">
        <v>44886</v>
      </c>
      <c r="Q5" s="58">
        <v>2.92</v>
      </c>
      <c r="R5" s="44"/>
      <c r="S5" s="53">
        <v>44886</v>
      </c>
      <c r="T5" s="58">
        <f>(S5-N4)/360*$U$4*$K$4</f>
        <v>2.93</v>
      </c>
      <c r="U5" s="58">
        <f>T5-Q5</f>
        <v>0.01</v>
      </c>
      <c r="V5" s="52"/>
      <c r="W5" s="44"/>
      <c r="X5" s="44"/>
      <c r="Y5" s="44"/>
      <c r="Z5" s="44"/>
      <c r="AA5" s="44"/>
      <c r="AB5" s="44"/>
    </row>
    <row r="6" spans="1:29" s="35" customFormat="1">
      <c r="A6" s="44"/>
      <c r="B6" s="44"/>
      <c r="C6" s="44"/>
      <c r="D6" s="44"/>
      <c r="E6" s="44"/>
      <c r="F6" s="44"/>
      <c r="G6" s="44"/>
      <c r="H6" s="44"/>
      <c r="I6" s="44"/>
      <c r="J6" s="44"/>
      <c r="K6" s="44"/>
      <c r="L6" s="44"/>
      <c r="M6" s="63"/>
      <c r="N6" s="52"/>
      <c r="O6" s="53"/>
      <c r="P6" s="53">
        <v>44916</v>
      </c>
      <c r="Q6" s="58">
        <v>3.25</v>
      </c>
      <c r="R6" s="44"/>
      <c r="S6" s="53">
        <v>44916</v>
      </c>
      <c r="T6" s="58">
        <f>(S6-S5)/360*$U$4*$K$4</f>
        <v>3.25</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44947</v>
      </c>
      <c r="Q7" s="58">
        <v>3.36</v>
      </c>
      <c r="R7" s="44"/>
      <c r="S7" s="53">
        <v>44947</v>
      </c>
      <c r="T7" s="58">
        <f>(S7-S6)*$K$4*$U$4/360</f>
        <v>3.36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44978</v>
      </c>
      <c r="Q8" s="58">
        <v>3.36</v>
      </c>
      <c r="R8" s="44"/>
      <c r="S8" s="53">
        <v>44978</v>
      </c>
      <c r="T8" s="58">
        <f t="shared" ref="T8:T16" si="0">(S8-S7)*$K$4*$U$4/360</f>
        <v>3.36</v>
      </c>
      <c r="U8" s="58">
        <f t="shared" ref="U8:U16"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45006</v>
      </c>
      <c r="Q9" s="58">
        <v>3.03</v>
      </c>
      <c r="R9" s="44"/>
      <c r="S9" s="53">
        <v>45006</v>
      </c>
      <c r="T9" s="58">
        <f t="shared" si="0"/>
        <v>3.03</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45037</v>
      </c>
      <c r="Q10" s="58">
        <v>3.36</v>
      </c>
      <c r="R10" s="44"/>
      <c r="S10" s="53">
        <v>45037</v>
      </c>
      <c r="T10" s="58">
        <f t="shared" si="0"/>
        <v>3.36</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45067</v>
      </c>
      <c r="Q11" s="58">
        <v>3.25</v>
      </c>
      <c r="R11" s="44"/>
      <c r="S11" s="53">
        <v>45067</v>
      </c>
      <c r="T11" s="58">
        <f t="shared" si="0"/>
        <v>3.25</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45098</v>
      </c>
      <c r="Q12" s="58">
        <v>3.36</v>
      </c>
      <c r="R12" s="44"/>
      <c r="S12" s="53">
        <v>45098</v>
      </c>
      <c r="T12" s="58">
        <f t="shared" si="0"/>
        <v>3.36</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45128</v>
      </c>
      <c r="Q13" s="58">
        <v>3.25</v>
      </c>
      <c r="R13" s="44"/>
      <c r="S13" s="53">
        <v>45128</v>
      </c>
      <c r="T13" s="58">
        <f t="shared" si="0"/>
        <v>3.25</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45159</v>
      </c>
      <c r="Q14" s="58">
        <v>3.36</v>
      </c>
      <c r="R14" s="44"/>
      <c r="S14" s="53">
        <v>45159</v>
      </c>
      <c r="T14" s="58">
        <f t="shared" si="0"/>
        <v>3.36</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45190</v>
      </c>
      <c r="Q15" s="58">
        <v>3.35</v>
      </c>
      <c r="R15" s="44"/>
      <c r="S15" s="53">
        <v>45190</v>
      </c>
      <c r="T15" s="58">
        <f t="shared" si="0"/>
        <v>3.36</v>
      </c>
      <c r="U15" s="58">
        <f t="shared" si="1"/>
        <v>0.01</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45216</v>
      </c>
      <c r="Q16" s="58">
        <v>2.82</v>
      </c>
      <c r="R16" s="44"/>
      <c r="S16" s="53">
        <v>45216</v>
      </c>
      <c r="T16" s="58">
        <f t="shared" si="0"/>
        <v>2.82</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成都鑫三合机电新技术开发有限公司</v>
      </c>
      <c r="C27" s="43" t="str">
        <f t="shared" ref="C27:G27" si="2">C4</f>
        <v>郫都区市场监督管理局</v>
      </c>
      <c r="D27" s="43" t="str">
        <f t="shared" si="2"/>
        <v>91510124755968263A</v>
      </c>
      <c r="E27" s="43" t="str">
        <f t="shared" si="2"/>
        <v>其他有限责任公司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成都鑫三合机电新技术开发有限公司</v>
      </c>
      <c r="C49" s="43" t="str">
        <f t="shared" ref="C49:G49" si="3">C27</f>
        <v>郫都区市场监督管理局</v>
      </c>
      <c r="D49" s="43" t="str">
        <f t="shared" si="3"/>
        <v>91510124755968263A</v>
      </c>
      <c r="E49" s="43" t="str">
        <f t="shared" si="3"/>
        <v>其他有限责任公司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成都鑫三合机电新技术开发有限公司</v>
      </c>
      <c r="C71" s="43" t="str">
        <f t="shared" ref="C71:G71" si="4">C49</f>
        <v>郫都区市场监督管理局</v>
      </c>
      <c r="D71" s="43" t="str">
        <f t="shared" si="4"/>
        <v>91510124755968263A</v>
      </c>
      <c r="E71" s="43" t="str">
        <f t="shared" si="4"/>
        <v>其他有限责任公司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成都鑫三合机电新技术开发有限公司</v>
      </c>
      <c r="C93" s="43" t="str">
        <f t="shared" ref="C93:G93" si="5">C71</f>
        <v>郫都区市场监督管理局</v>
      </c>
      <c r="D93" s="43" t="str">
        <f t="shared" si="5"/>
        <v>91510124755968263A</v>
      </c>
      <c r="E93" s="43" t="str">
        <f t="shared" si="5"/>
        <v>其他有限责任公司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14.71</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AC117"/>
  <sheetViews>
    <sheetView topLeftCell="K1" zoomScale="80" zoomScaleNormal="80" workbookViewId="0">
      <pane ySplit="3" topLeftCell="A4" activePane="bottomLeft" state="frozen"/>
      <selection pane="bottomLeft" activeCell="AA10" sqref="AA10"/>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成都川一机械有限公司审计明细表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602</v>
      </c>
      <c r="C4" s="43" t="s">
        <v>1446</v>
      </c>
      <c r="D4" s="43" t="s">
        <v>1526</v>
      </c>
      <c r="E4" s="43" t="s">
        <v>146</v>
      </c>
      <c r="F4" s="43" t="s">
        <v>1454</v>
      </c>
      <c r="G4" s="43" t="s">
        <v>1229</v>
      </c>
      <c r="H4" s="43" t="s">
        <v>71</v>
      </c>
      <c r="I4" s="43" t="s">
        <v>1448</v>
      </c>
      <c r="J4" s="43" t="s">
        <v>1527</v>
      </c>
      <c r="K4" s="43">
        <v>430</v>
      </c>
      <c r="L4" s="43" t="s">
        <v>1528</v>
      </c>
      <c r="M4" s="49" t="s">
        <v>1529</v>
      </c>
      <c r="N4" s="65">
        <v>44833</v>
      </c>
      <c r="O4" s="65">
        <v>45195</v>
      </c>
      <c r="P4" s="43">
        <f>P20-N4</f>
        <v>362</v>
      </c>
      <c r="Q4" s="55">
        <f>SUM(Q5:Q26)</f>
        <v>15.8</v>
      </c>
      <c r="R4" s="55">
        <v>6.4</v>
      </c>
      <c r="S4" s="43"/>
      <c r="T4" s="55">
        <f>SUM(T5:T26)</f>
        <v>15.78</v>
      </c>
      <c r="U4" s="56">
        <v>3.6499999999999998E-2</v>
      </c>
      <c r="V4" s="50"/>
      <c r="W4" s="43" t="s">
        <v>42</v>
      </c>
      <c r="X4" s="57">
        <v>1.4999999999999999E-2</v>
      </c>
      <c r="Y4" s="43">
        <f>ROUNDDOWN(IF((O4-N4+1)*K4*X4/365&gt;R4,R4,(O4-N4+1)*K4*X4/365),2)</f>
        <v>6.4</v>
      </c>
      <c r="Z4" s="55">
        <f>R4-Y4</f>
        <v>0</v>
      </c>
      <c r="AA4" s="55"/>
      <c r="AB4" s="43" t="s">
        <v>61</v>
      </c>
    </row>
    <row r="5" spans="1:29" s="35" customFormat="1">
      <c r="A5" s="44"/>
      <c r="B5" s="44"/>
      <c r="C5" s="44"/>
      <c r="D5" s="44"/>
      <c r="E5" s="44"/>
      <c r="F5" s="44"/>
      <c r="G5" s="44"/>
      <c r="H5" s="44"/>
      <c r="I5" s="44"/>
      <c r="J5" s="44"/>
      <c r="K5" s="44"/>
      <c r="L5" s="44"/>
      <c r="M5" s="63"/>
      <c r="N5" s="52"/>
      <c r="O5" s="65"/>
      <c r="P5" s="53">
        <v>44855</v>
      </c>
      <c r="Q5" s="58">
        <v>0.24</v>
      </c>
      <c r="R5" s="44"/>
      <c r="S5" s="53">
        <v>44855</v>
      </c>
      <c r="T5" s="58">
        <f>(S5-N4)/360*$U$4*$K$4</f>
        <v>0.96</v>
      </c>
      <c r="U5" s="58">
        <f>T5-Q5</f>
        <v>0.72</v>
      </c>
      <c r="V5" s="52"/>
      <c r="W5" s="44"/>
      <c r="X5" s="44"/>
      <c r="Y5" s="44"/>
      <c r="Z5" s="44"/>
      <c r="AA5" s="44"/>
      <c r="AB5" s="44"/>
    </row>
    <row r="6" spans="1:29" s="35" customFormat="1">
      <c r="A6" s="44"/>
      <c r="B6" s="44"/>
      <c r="C6" s="44"/>
      <c r="D6" s="44"/>
      <c r="E6" s="44"/>
      <c r="F6" s="44"/>
      <c r="G6" s="44"/>
      <c r="H6" s="44"/>
      <c r="I6" s="44"/>
      <c r="J6" s="44"/>
      <c r="K6" s="44"/>
      <c r="L6" s="44"/>
      <c r="M6" s="63"/>
      <c r="N6" s="52"/>
      <c r="O6" s="53"/>
      <c r="P6" s="53">
        <v>44856</v>
      </c>
      <c r="Q6" s="58">
        <v>0.72</v>
      </c>
      <c r="R6" s="44"/>
      <c r="S6" s="53">
        <v>44856</v>
      </c>
      <c r="T6" s="58">
        <f>(S6-S5)/360*$U$4*$K$4</f>
        <v>0.04</v>
      </c>
      <c r="U6" s="58">
        <f>T6-Q6</f>
        <v>-0.68</v>
      </c>
      <c r="V6" s="52"/>
      <c r="W6" s="44"/>
      <c r="X6" s="44"/>
      <c r="Y6" s="44"/>
      <c r="Z6" s="44"/>
      <c r="AA6" s="44"/>
      <c r="AB6" s="44"/>
    </row>
    <row r="7" spans="1:29" s="35" customFormat="1">
      <c r="A7" s="44"/>
      <c r="B7" s="44"/>
      <c r="C7" s="44"/>
      <c r="D7" s="44"/>
      <c r="E7" s="44"/>
      <c r="F7" s="44"/>
      <c r="G7" s="44"/>
      <c r="H7" s="44"/>
      <c r="I7" s="44"/>
      <c r="J7" s="44"/>
      <c r="K7" s="44"/>
      <c r="L7" s="44"/>
      <c r="M7" s="44"/>
      <c r="N7" s="52"/>
      <c r="O7" s="53"/>
      <c r="P7" s="53">
        <v>44879</v>
      </c>
      <c r="Q7" s="58">
        <v>1.05</v>
      </c>
      <c r="R7" s="44"/>
      <c r="S7" s="53">
        <v>44879</v>
      </c>
      <c r="T7" s="58">
        <f>(S7-S6)*$K$4*$U$4/360</f>
        <v>1</v>
      </c>
      <c r="U7" s="58">
        <f>T7-Q7</f>
        <v>-0.05</v>
      </c>
      <c r="V7" s="44"/>
      <c r="W7" s="44"/>
      <c r="X7" s="44"/>
      <c r="Y7" s="44"/>
      <c r="Z7" s="44"/>
      <c r="AA7" s="44"/>
      <c r="AB7" s="44"/>
    </row>
    <row r="8" spans="1:29" s="35" customFormat="1">
      <c r="A8" s="44"/>
      <c r="B8" s="44"/>
      <c r="C8" s="44"/>
      <c r="D8" s="44"/>
      <c r="E8" s="44"/>
      <c r="F8" s="44"/>
      <c r="G8" s="44"/>
      <c r="H8" s="44"/>
      <c r="I8" s="44"/>
      <c r="J8" s="44"/>
      <c r="K8" s="44"/>
      <c r="L8" s="44"/>
      <c r="M8" s="44"/>
      <c r="N8" s="52"/>
      <c r="O8" s="52"/>
      <c r="P8" s="53">
        <v>44886</v>
      </c>
      <c r="Q8" s="58">
        <v>0.31</v>
      </c>
      <c r="R8" s="44"/>
      <c r="S8" s="53">
        <v>44886</v>
      </c>
      <c r="T8" s="58">
        <f t="shared" ref="T8:T20" si="0">(S8-S7)*$K$4*$U$4/360</f>
        <v>0.31</v>
      </c>
      <c r="U8" s="58">
        <f t="shared" ref="U8:U20"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44916</v>
      </c>
      <c r="Q9" s="58">
        <v>1.31</v>
      </c>
      <c r="R9" s="44"/>
      <c r="S9" s="53">
        <v>44916</v>
      </c>
      <c r="T9" s="58">
        <f t="shared" si="0"/>
        <v>1.31</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44947</v>
      </c>
      <c r="Q10" s="58">
        <v>1.35</v>
      </c>
      <c r="R10" s="44"/>
      <c r="S10" s="53">
        <v>44947</v>
      </c>
      <c r="T10" s="58">
        <f t="shared" si="0"/>
        <v>1.35</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44978</v>
      </c>
      <c r="Q11" s="58">
        <v>0.28000000000000003</v>
      </c>
      <c r="R11" s="44"/>
      <c r="S11" s="53">
        <v>44978</v>
      </c>
      <c r="T11" s="58">
        <f t="shared" si="0"/>
        <v>1.35</v>
      </c>
      <c r="U11" s="58">
        <f t="shared" si="1"/>
        <v>1.07</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44978</v>
      </c>
      <c r="Q12" s="58">
        <v>1.08</v>
      </c>
      <c r="R12" s="44"/>
      <c r="S12" s="53">
        <v>44978</v>
      </c>
      <c r="T12" s="58">
        <f t="shared" si="0"/>
        <v>0</v>
      </c>
      <c r="U12" s="58">
        <f t="shared" si="1"/>
        <v>-1.08</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45006</v>
      </c>
      <c r="Q13" s="58">
        <v>1.22</v>
      </c>
      <c r="R13" s="44"/>
      <c r="S13" s="53">
        <v>45006</v>
      </c>
      <c r="T13" s="58">
        <f t="shared" si="0"/>
        <v>1.22</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45037</v>
      </c>
      <c r="Q14" s="58">
        <v>1.35</v>
      </c>
      <c r="R14" s="44"/>
      <c r="S14" s="53">
        <v>45037</v>
      </c>
      <c r="T14" s="58">
        <f t="shared" si="0"/>
        <v>1.35</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45067</v>
      </c>
      <c r="Q15" s="58">
        <v>1.31</v>
      </c>
      <c r="R15" s="44"/>
      <c r="S15" s="53">
        <v>45067</v>
      </c>
      <c r="T15" s="58">
        <f t="shared" si="0"/>
        <v>1.31</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45098</v>
      </c>
      <c r="Q16" s="58">
        <v>1.35</v>
      </c>
      <c r="R16" s="44"/>
      <c r="S16" s="53">
        <v>45098</v>
      </c>
      <c r="T16" s="58">
        <f t="shared" si="0"/>
        <v>1.35</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45128</v>
      </c>
      <c r="Q17" s="58">
        <v>1.31</v>
      </c>
      <c r="R17" s="44"/>
      <c r="S17" s="53">
        <v>45128</v>
      </c>
      <c r="T17" s="58">
        <f t="shared" si="0"/>
        <v>1.31</v>
      </c>
      <c r="U17" s="58">
        <f t="shared" si="1"/>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v>45159</v>
      </c>
      <c r="Q18" s="58">
        <v>1.35</v>
      </c>
      <c r="R18" s="44"/>
      <c r="S18" s="53">
        <v>45159</v>
      </c>
      <c r="T18" s="58">
        <f t="shared" si="0"/>
        <v>1.35</v>
      </c>
      <c r="U18" s="58">
        <f t="shared" si="1"/>
        <v>0</v>
      </c>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v>45190</v>
      </c>
      <c r="Q19" s="58">
        <v>1.35</v>
      </c>
      <c r="R19" s="44"/>
      <c r="S19" s="53">
        <v>45190</v>
      </c>
      <c r="T19" s="58">
        <f t="shared" si="0"/>
        <v>1.35</v>
      </c>
      <c r="U19" s="58">
        <f t="shared" si="1"/>
        <v>0</v>
      </c>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v>45195</v>
      </c>
      <c r="Q20" s="58">
        <v>0.22</v>
      </c>
      <c r="R20" s="44"/>
      <c r="S20" s="53">
        <v>45195</v>
      </c>
      <c r="T20" s="58">
        <f t="shared" si="0"/>
        <v>0.22</v>
      </c>
      <c r="U20" s="58">
        <f t="shared" si="1"/>
        <v>0</v>
      </c>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成都川一机械有限公司</v>
      </c>
      <c r="C27" s="43" t="str">
        <f t="shared" ref="C27:G27" si="2">C4</f>
        <v>郫都区行政审批局</v>
      </c>
      <c r="D27" s="43" t="str">
        <f t="shared" si="2"/>
        <v>91510100572254006D</v>
      </c>
      <c r="E27" s="43" t="str">
        <f t="shared" si="2"/>
        <v>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成都川一机械有限公司</v>
      </c>
      <c r="C49" s="43" t="str">
        <f t="shared" ref="C49:G49" si="3">C27</f>
        <v>郫都区行政审批局</v>
      </c>
      <c r="D49" s="43" t="str">
        <f t="shared" si="3"/>
        <v>91510100572254006D</v>
      </c>
      <c r="E49" s="43" t="str">
        <f t="shared" si="3"/>
        <v>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成都川一机械有限公司</v>
      </c>
      <c r="C71" s="43" t="str">
        <f t="shared" ref="C71:G71" si="4">C49</f>
        <v>郫都区行政审批局</v>
      </c>
      <c r="D71" s="43" t="str">
        <f t="shared" si="4"/>
        <v>91510100572254006D</v>
      </c>
      <c r="E71" s="43" t="str">
        <f t="shared" si="4"/>
        <v>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成都川一机械有限公司</v>
      </c>
      <c r="C93" s="43" t="str">
        <f t="shared" ref="C93:G93" si="5">C71</f>
        <v>郫都区行政审批局</v>
      </c>
      <c r="D93" s="43" t="str">
        <f t="shared" si="5"/>
        <v>91510100572254006D</v>
      </c>
      <c r="E93" s="43" t="str">
        <f t="shared" si="5"/>
        <v>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430</v>
      </c>
      <c r="L115" s="43"/>
      <c r="M115" s="43"/>
      <c r="N115" s="50"/>
      <c r="O115" s="50"/>
      <c r="P115" s="43"/>
      <c r="Q115" s="43"/>
      <c r="R115" s="43"/>
      <c r="S115" s="43"/>
      <c r="T115" s="43"/>
      <c r="U115" s="43"/>
      <c r="V115" s="43"/>
      <c r="W115" s="43"/>
      <c r="X115" s="43"/>
      <c r="Y115" s="43">
        <f>Y93+Y71+Y49+Y27++Y4</f>
        <v>6.4</v>
      </c>
      <c r="Z115" s="43"/>
      <c r="AA115" s="43"/>
      <c r="AB115" s="43"/>
    </row>
    <row r="116" spans="1:28">
      <c r="I116" s="36" t="s">
        <v>49</v>
      </c>
      <c r="K116" s="36">
        <f>IF(K115&gt;3000,K117,K115)</f>
        <v>430</v>
      </c>
    </row>
    <row r="117" spans="1:28" hidden="1">
      <c r="K117" s="36">
        <f>IF(K116&gt;3000,K118,K116)</f>
        <v>430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四川格林流体控制设备有限公司审计明细表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700</v>
      </c>
      <c r="C4" s="43" t="s">
        <v>1446</v>
      </c>
      <c r="D4" s="43" t="s">
        <v>1530</v>
      </c>
      <c r="E4" s="43" t="s">
        <v>146</v>
      </c>
      <c r="F4" s="43" t="s">
        <v>1454</v>
      </c>
      <c r="G4" s="43" t="s">
        <v>1229</v>
      </c>
      <c r="H4" s="43" t="s">
        <v>71</v>
      </c>
      <c r="I4" s="43" t="s">
        <v>468</v>
      </c>
      <c r="J4" s="43" t="s">
        <v>73</v>
      </c>
      <c r="K4" s="43">
        <v>1000</v>
      </c>
      <c r="L4" s="43" t="s">
        <v>1531</v>
      </c>
      <c r="M4" s="49" t="s">
        <v>1532</v>
      </c>
      <c r="N4" s="65">
        <v>44904</v>
      </c>
      <c r="O4" s="65">
        <v>45268</v>
      </c>
      <c r="P4" s="43">
        <f>P16-N4</f>
        <v>364</v>
      </c>
      <c r="Q4" s="55">
        <f>SUM(Q5:Q26)</f>
        <v>38.42</v>
      </c>
      <c r="R4" s="55">
        <v>15</v>
      </c>
      <c r="S4" s="43"/>
      <c r="T4" s="55">
        <f>SUM(T5:T26)</f>
        <v>38.42</v>
      </c>
      <c r="U4" s="56">
        <v>3.7999999999999999E-2</v>
      </c>
      <c r="V4" s="50"/>
      <c r="W4" s="43" t="s">
        <v>42</v>
      </c>
      <c r="X4" s="57">
        <v>1.4999999999999999E-2</v>
      </c>
      <c r="Y4" s="43">
        <f>ROUNDDOWN(IF((O4-N4+1)*K4*X4/365&gt;R4,R4,(O4-N4+1)*K4*X4/365),2)</f>
        <v>15</v>
      </c>
      <c r="Z4" s="55">
        <f>R4-Y4</f>
        <v>0</v>
      </c>
      <c r="AA4" s="55"/>
      <c r="AB4" s="43" t="s">
        <v>61</v>
      </c>
    </row>
    <row r="5" spans="1:29" s="35" customFormat="1">
      <c r="A5" s="44"/>
      <c r="B5" s="44"/>
      <c r="C5" s="44"/>
      <c r="D5" s="44"/>
      <c r="E5" s="44"/>
      <c r="F5" s="44"/>
      <c r="G5" s="44"/>
      <c r="H5" s="44"/>
      <c r="I5" s="44"/>
      <c r="J5" s="44"/>
      <c r="K5" s="44"/>
      <c r="L5" s="44"/>
      <c r="M5" s="63"/>
      <c r="N5" s="52"/>
      <c r="O5" s="65"/>
      <c r="P5" s="53">
        <v>44947</v>
      </c>
      <c r="Q5" s="58">
        <v>4.54</v>
      </c>
      <c r="R5" s="44"/>
      <c r="S5" s="53">
        <v>44947</v>
      </c>
      <c r="T5" s="58">
        <f>(S5-N4)/360*$U$4*$K$4</f>
        <v>4.54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3.27</v>
      </c>
      <c r="R6" s="44"/>
      <c r="S6" s="53">
        <v>44978</v>
      </c>
      <c r="T6" s="58">
        <f>(S6-S5)/360*$U$4*$K$4</f>
        <v>3.27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2.96</v>
      </c>
      <c r="R7" s="44"/>
      <c r="S7" s="53">
        <v>45006</v>
      </c>
      <c r="T7" s="58">
        <f>(S7-S6)*$K$4*$U$4/360</f>
        <v>2.96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3.27</v>
      </c>
      <c r="R8" s="44"/>
      <c r="S8" s="53">
        <v>45037</v>
      </c>
      <c r="T8" s="58">
        <f t="shared" ref="T8:T16" si="0">(S8-S7)*$K$4*$U$4/360</f>
        <v>3.27</v>
      </c>
      <c r="U8" s="58">
        <f t="shared" ref="U8:U16"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3.17</v>
      </c>
      <c r="R9" s="44"/>
      <c r="S9" s="53">
        <v>45067</v>
      </c>
      <c r="T9" s="58">
        <f t="shared" si="0"/>
        <v>3.17</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3.27</v>
      </c>
      <c r="R10" s="44"/>
      <c r="S10" s="53">
        <v>45098</v>
      </c>
      <c r="T10" s="58">
        <f t="shared" si="0"/>
        <v>3.27</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3.17</v>
      </c>
      <c r="R11" s="44"/>
      <c r="S11" s="53">
        <v>45128</v>
      </c>
      <c r="T11" s="58">
        <f t="shared" si="0"/>
        <v>3.17</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3.27</v>
      </c>
      <c r="R12" s="44"/>
      <c r="S12" s="53">
        <v>45159</v>
      </c>
      <c r="T12" s="58">
        <f t="shared" si="0"/>
        <v>3.27</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3.27</v>
      </c>
      <c r="R13" s="44"/>
      <c r="S13" s="53">
        <v>45190</v>
      </c>
      <c r="T13" s="58">
        <f t="shared" si="0"/>
        <v>3.27</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3.17</v>
      </c>
      <c r="R14" s="44"/>
      <c r="S14" s="53">
        <v>45220</v>
      </c>
      <c r="T14" s="58">
        <f t="shared" si="0"/>
        <v>3.17</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3.27</v>
      </c>
      <c r="R15" s="44"/>
      <c r="S15" s="53">
        <v>45251</v>
      </c>
      <c r="T15" s="58">
        <f t="shared" si="0"/>
        <v>3.27</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45268</v>
      </c>
      <c r="Q16" s="58">
        <v>1.79</v>
      </c>
      <c r="R16" s="44"/>
      <c r="S16" s="53">
        <v>45268</v>
      </c>
      <c r="T16" s="58">
        <f t="shared" si="0"/>
        <v>1.79</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四川格林流体控制设备有限公司</v>
      </c>
      <c r="C27" s="43" t="str">
        <f t="shared" ref="C27:G27" si="2">C4</f>
        <v>郫都区行政审批局</v>
      </c>
      <c r="D27" s="43" t="str">
        <f t="shared" si="2"/>
        <v>91510124771693570R</v>
      </c>
      <c r="E27" s="43" t="str">
        <f t="shared" si="2"/>
        <v>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四川格林流体控制设备有限公司</v>
      </c>
      <c r="C49" s="43" t="str">
        <f t="shared" ref="C49:G49" si="3">C27</f>
        <v>郫都区行政审批局</v>
      </c>
      <c r="D49" s="43" t="str">
        <f t="shared" si="3"/>
        <v>91510124771693570R</v>
      </c>
      <c r="E49" s="43" t="str">
        <f t="shared" si="3"/>
        <v>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四川格林流体控制设备有限公司</v>
      </c>
      <c r="C71" s="43" t="str">
        <f t="shared" ref="C71:G71" si="4">C49</f>
        <v>郫都区行政审批局</v>
      </c>
      <c r="D71" s="43" t="str">
        <f t="shared" si="4"/>
        <v>91510124771693570R</v>
      </c>
      <c r="E71" s="43" t="str">
        <f t="shared" si="4"/>
        <v>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四川格林流体控制设备有限公司</v>
      </c>
      <c r="C93" s="43" t="str">
        <f t="shared" ref="C93:G93" si="5">C71</f>
        <v>郫都区行政审批局</v>
      </c>
      <c r="D93" s="43" t="str">
        <f t="shared" si="5"/>
        <v>91510124771693570R</v>
      </c>
      <c r="E93" s="43" t="str">
        <f t="shared" si="5"/>
        <v>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四川饭扫光食品集团股份有限公司审计明细表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698</v>
      </c>
      <c r="C4" s="43" t="s">
        <v>1452</v>
      </c>
      <c r="D4" s="43" t="s">
        <v>1533</v>
      </c>
      <c r="E4" s="43" t="s">
        <v>54</v>
      </c>
      <c r="F4" s="43" t="s">
        <v>1454</v>
      </c>
      <c r="G4" s="43" t="s">
        <v>1229</v>
      </c>
      <c r="H4" s="43" t="s">
        <v>71</v>
      </c>
      <c r="I4" s="43" t="s">
        <v>1448</v>
      </c>
      <c r="J4" s="43" t="s">
        <v>73</v>
      </c>
      <c r="K4" s="43">
        <v>1000</v>
      </c>
      <c r="L4" s="43" t="s">
        <v>1534</v>
      </c>
      <c r="M4" s="49" t="s">
        <v>1535</v>
      </c>
      <c r="N4" s="65">
        <v>45105</v>
      </c>
      <c r="O4" s="65">
        <v>45291</v>
      </c>
      <c r="P4" s="43">
        <f>P11-N4</f>
        <v>207</v>
      </c>
      <c r="Q4" s="55">
        <f>SUM(Q5:Q26)</f>
        <v>25.31</v>
      </c>
      <c r="R4" s="55">
        <v>7.65</v>
      </c>
      <c r="S4" s="43"/>
      <c r="T4" s="55">
        <f>SUM(T5:T26)</f>
        <v>25.31</v>
      </c>
      <c r="U4" s="56">
        <v>4.3999999999999997E-2</v>
      </c>
      <c r="V4" s="50"/>
      <c r="W4" s="43" t="s">
        <v>42</v>
      </c>
      <c r="X4" s="57">
        <v>1.4999999999999999E-2</v>
      </c>
      <c r="Y4" s="43">
        <f>ROUNDDOWN(IF((O4-N4+1)*K4*X4/365&gt;R4,R4,(O4-N4+1)*K4*X4/365),2)</f>
        <v>7.65</v>
      </c>
      <c r="Z4" s="55">
        <f>R4-Y4</f>
        <v>0</v>
      </c>
      <c r="AA4" s="55"/>
      <c r="AB4" s="43" t="s">
        <v>61</v>
      </c>
    </row>
    <row r="5" spans="1:29" s="35" customFormat="1">
      <c r="A5" s="44"/>
      <c r="B5" s="44"/>
      <c r="C5" s="44"/>
      <c r="D5" s="44"/>
      <c r="E5" s="44"/>
      <c r="F5" s="44"/>
      <c r="G5" s="44"/>
      <c r="H5" s="44"/>
      <c r="I5" s="44"/>
      <c r="J5" s="44"/>
      <c r="K5" s="44"/>
      <c r="L5" s="44"/>
      <c r="M5" s="63"/>
      <c r="N5" s="52"/>
      <c r="O5" s="65">
        <v>45470</v>
      </c>
      <c r="P5" s="53">
        <v>45128</v>
      </c>
      <c r="Q5" s="58">
        <v>2.81</v>
      </c>
      <c r="R5" s="44"/>
      <c r="S5" s="53">
        <v>45128</v>
      </c>
      <c r="T5" s="58">
        <f>(S5-N4)/360*$U$4*$K$4</f>
        <v>2.81</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45159</v>
      </c>
      <c r="Q6" s="58">
        <v>3.79</v>
      </c>
      <c r="R6" s="44"/>
      <c r="S6" s="53">
        <v>45159</v>
      </c>
      <c r="T6" s="58">
        <f>(S6-S5)/360*$U$4*$K$4</f>
        <v>3.79</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45190</v>
      </c>
      <c r="Q7" s="58">
        <v>3.79</v>
      </c>
      <c r="R7" s="44"/>
      <c r="S7" s="53">
        <v>45190</v>
      </c>
      <c r="T7" s="58">
        <f>(S7-S6)*$K$4*$U$4/360</f>
        <v>3.79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45220</v>
      </c>
      <c r="Q8" s="58">
        <v>3.67</v>
      </c>
      <c r="R8" s="44"/>
      <c r="S8" s="53">
        <v>45220</v>
      </c>
      <c r="T8" s="58">
        <f t="shared" ref="T8:T11" si="0">(S8-S7)*$K$4*$U$4/360</f>
        <v>3.67</v>
      </c>
      <c r="U8" s="58">
        <f t="shared" ref="U8:U11"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45251</v>
      </c>
      <c r="Q9" s="58">
        <v>3.79</v>
      </c>
      <c r="R9" s="44"/>
      <c r="S9" s="53">
        <v>45251</v>
      </c>
      <c r="T9" s="58">
        <f t="shared" si="0"/>
        <v>3.79</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45281</v>
      </c>
      <c r="Q10" s="58">
        <v>3.67</v>
      </c>
      <c r="R10" s="44"/>
      <c r="S10" s="53">
        <v>45281</v>
      </c>
      <c r="T10" s="58">
        <f t="shared" si="0"/>
        <v>3.67</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45312</v>
      </c>
      <c r="Q11" s="58">
        <v>3.79</v>
      </c>
      <c r="R11" s="44"/>
      <c r="S11" s="53">
        <v>45312</v>
      </c>
      <c r="T11" s="58">
        <f t="shared" si="0"/>
        <v>3.79</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四川饭扫光食品集团股份有限公司</v>
      </c>
      <c r="C27" s="43" t="str">
        <f t="shared" ref="C27:G27" si="2">C4</f>
        <v>郫都区市场监督管理局</v>
      </c>
      <c r="D27" s="43" t="str">
        <f t="shared" si="2"/>
        <v>91510124720347942H</v>
      </c>
      <c r="E27" s="43" t="str">
        <f t="shared" si="2"/>
        <v>股份有限公司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四川饭扫光食品集团股份有限公司</v>
      </c>
      <c r="C49" s="43" t="str">
        <f t="shared" ref="C49:G49" si="3">C27</f>
        <v>郫都区市场监督管理局</v>
      </c>
      <c r="D49" s="43" t="str">
        <f t="shared" si="3"/>
        <v>91510124720347942H</v>
      </c>
      <c r="E49" s="43" t="str">
        <f t="shared" si="3"/>
        <v>股份有限公司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四川饭扫光食品集团股份有限公司</v>
      </c>
      <c r="C71" s="43" t="str">
        <f t="shared" ref="C71:G71" si="4">C49</f>
        <v>郫都区市场监督管理局</v>
      </c>
      <c r="D71" s="43" t="str">
        <f t="shared" si="4"/>
        <v>91510124720347942H</v>
      </c>
      <c r="E71" s="43" t="str">
        <f t="shared" si="4"/>
        <v>股份有限公司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四川饭扫光食品集团股份有限公司</v>
      </c>
      <c r="C93" s="43" t="str">
        <f t="shared" ref="C93:G93" si="5">C71</f>
        <v>郫都区市场监督管理局</v>
      </c>
      <c r="D93" s="43" t="str">
        <f t="shared" si="5"/>
        <v>91510124720347942H</v>
      </c>
      <c r="E93" s="43" t="str">
        <f t="shared" si="5"/>
        <v>股份有限公司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7.65</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成都中工电气工程有限公司审计明细表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684</v>
      </c>
      <c r="C4" s="43" t="s">
        <v>1446</v>
      </c>
      <c r="D4" s="43" t="s">
        <v>1536</v>
      </c>
      <c r="E4" s="43" t="s">
        <v>101</v>
      </c>
      <c r="F4" s="43" t="s">
        <v>1454</v>
      </c>
      <c r="G4" s="43" t="s">
        <v>1229</v>
      </c>
      <c r="H4" s="43" t="s">
        <v>71</v>
      </c>
      <c r="I4" s="43" t="s">
        <v>70</v>
      </c>
      <c r="J4" s="43" t="s">
        <v>73</v>
      </c>
      <c r="K4" s="43">
        <v>500</v>
      </c>
      <c r="L4" s="43" t="s">
        <v>1537</v>
      </c>
      <c r="M4" s="49" t="s">
        <v>1538</v>
      </c>
      <c r="N4" s="65">
        <v>44909</v>
      </c>
      <c r="O4" s="65">
        <v>45272</v>
      </c>
      <c r="P4" s="43">
        <f>P16-N4</f>
        <v>363</v>
      </c>
      <c r="Q4" s="55">
        <f>SUM(Q5:Q26)</f>
        <v>20.170000000000002</v>
      </c>
      <c r="R4" s="55">
        <v>7.5</v>
      </c>
      <c r="S4" s="43"/>
      <c r="T4" s="55">
        <f>SUM(T5:T26)</f>
        <v>20.170000000000002</v>
      </c>
      <c r="U4" s="56">
        <v>0.04</v>
      </c>
      <c r="V4" s="50"/>
      <c r="W4" s="43" t="s">
        <v>42</v>
      </c>
      <c r="X4" s="57">
        <v>1.4999999999999999E-2</v>
      </c>
      <c r="Y4" s="43">
        <f>ROUNDDOWN(IF((O4-N4+1)*K4*X4/365&gt;R4,R4,(O4-N4+1)*K4*X4/365),2)</f>
        <v>7.47</v>
      </c>
      <c r="Z4" s="55">
        <f>R4-Y4</f>
        <v>0.03</v>
      </c>
      <c r="AA4" s="55" t="s">
        <v>1263</v>
      </c>
      <c r="AB4" s="43" t="s">
        <v>61</v>
      </c>
    </row>
    <row r="5" spans="1:29" s="35" customFormat="1">
      <c r="A5" s="44"/>
      <c r="B5" s="44"/>
      <c r="C5" s="44"/>
      <c r="D5" s="44"/>
      <c r="E5" s="44"/>
      <c r="F5" s="44"/>
      <c r="G5" s="44"/>
      <c r="H5" s="44"/>
      <c r="I5" s="44"/>
      <c r="J5" s="44"/>
      <c r="K5" s="44"/>
      <c r="L5" s="44"/>
      <c r="M5" s="63"/>
      <c r="N5" s="52"/>
      <c r="O5" s="65"/>
      <c r="P5" s="53">
        <v>44947</v>
      </c>
      <c r="Q5" s="58">
        <v>2.11</v>
      </c>
      <c r="R5" s="44"/>
      <c r="S5" s="53">
        <v>44947</v>
      </c>
      <c r="T5" s="58">
        <f>(S5-N4)/360*$U$4*$K$4</f>
        <v>2.11</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1.72</v>
      </c>
      <c r="R6" s="44"/>
      <c r="S6" s="53">
        <v>44978</v>
      </c>
      <c r="T6" s="58">
        <f>(S6-S5)/360*$U$4*$K$4</f>
        <v>1.72</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1.56</v>
      </c>
      <c r="R7" s="44"/>
      <c r="S7" s="53">
        <v>45006</v>
      </c>
      <c r="T7" s="58">
        <f>(S7-S6)*$K$4*$U$4/360</f>
        <v>1.56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1.72</v>
      </c>
      <c r="R8" s="44"/>
      <c r="S8" s="53">
        <v>45037</v>
      </c>
      <c r="T8" s="58">
        <f t="shared" ref="T8:T16" si="0">(S8-S7)*$K$4*$U$4/360</f>
        <v>1.72</v>
      </c>
      <c r="U8" s="58">
        <f t="shared" ref="U8:U16"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1.67</v>
      </c>
      <c r="R9" s="44"/>
      <c r="S9" s="53">
        <v>45067</v>
      </c>
      <c r="T9" s="58">
        <f t="shared" si="0"/>
        <v>1.67</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1.72</v>
      </c>
      <c r="R10" s="44"/>
      <c r="S10" s="53">
        <v>45098</v>
      </c>
      <c r="T10" s="58">
        <f t="shared" si="0"/>
        <v>1.72</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1.67</v>
      </c>
      <c r="R11" s="44"/>
      <c r="S11" s="53">
        <v>45128</v>
      </c>
      <c r="T11" s="58">
        <f t="shared" si="0"/>
        <v>1.67</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1.72</v>
      </c>
      <c r="R12" s="44"/>
      <c r="S12" s="53">
        <v>45159</v>
      </c>
      <c r="T12" s="58">
        <f t="shared" si="0"/>
        <v>1.72</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1.72</v>
      </c>
      <c r="R13" s="44"/>
      <c r="S13" s="53">
        <v>45190</v>
      </c>
      <c r="T13" s="58">
        <f t="shared" si="0"/>
        <v>1.72</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1.67</v>
      </c>
      <c r="R14" s="44"/>
      <c r="S14" s="53">
        <v>45220</v>
      </c>
      <c r="T14" s="58">
        <f t="shared" si="0"/>
        <v>1.67</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1.72</v>
      </c>
      <c r="R15" s="44"/>
      <c r="S15" s="53">
        <v>45251</v>
      </c>
      <c r="T15" s="58">
        <f t="shared" si="0"/>
        <v>1.72</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45272</v>
      </c>
      <c r="Q16" s="58">
        <v>1.17</v>
      </c>
      <c r="R16" s="44"/>
      <c r="S16" s="53">
        <v>45272</v>
      </c>
      <c r="T16" s="58">
        <f t="shared" si="0"/>
        <v>1.17</v>
      </c>
      <c r="U16" s="58">
        <f t="shared" si="1"/>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成都中工电气工程有限公司</v>
      </c>
      <c r="C27" s="43" t="str">
        <f t="shared" ref="C27:G27" si="2">C4</f>
        <v>郫都区行政审批局</v>
      </c>
      <c r="D27" s="43" t="str">
        <f t="shared" si="2"/>
        <v>915101247234011230</v>
      </c>
      <c r="E27" s="43" t="str">
        <f t="shared" si="2"/>
        <v>民营</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成都中工电气工程有限公司</v>
      </c>
      <c r="C49" s="43" t="str">
        <f t="shared" ref="C49:G49" si="3">C27</f>
        <v>郫都区行政审批局</v>
      </c>
      <c r="D49" s="43" t="str">
        <f t="shared" si="3"/>
        <v>915101247234011230</v>
      </c>
      <c r="E49" s="43" t="str">
        <f t="shared" si="3"/>
        <v>民营</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成都中工电气工程有限公司</v>
      </c>
      <c r="C71" s="43" t="str">
        <f t="shared" ref="C71:G71" si="4">C49</f>
        <v>郫都区行政审批局</v>
      </c>
      <c r="D71" s="43" t="str">
        <f t="shared" si="4"/>
        <v>915101247234011230</v>
      </c>
      <c r="E71" s="43" t="str">
        <f t="shared" si="4"/>
        <v>民营</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成都中工电气工程有限公司</v>
      </c>
      <c r="C93" s="43" t="str">
        <f t="shared" ref="C93:G93" si="5">C71</f>
        <v>郫都区行政审批局</v>
      </c>
      <c r="D93" s="43" t="str">
        <f t="shared" si="5"/>
        <v>915101247234011230</v>
      </c>
      <c r="E93" s="43" t="str">
        <f t="shared" si="5"/>
        <v>民营</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7.47</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116"/>
  <sheetViews>
    <sheetView topLeftCell="H1" zoomScale="80" zoomScaleNormal="80" workbookViewId="0">
      <pane ySplit="3" topLeftCell="A4" activePane="bottomLeft" state="frozen"/>
      <selection pane="bottomLeft" activeCell="S9" sqref="S9"/>
    </sheetView>
  </sheetViews>
  <sheetFormatPr defaultColWidth="9" defaultRowHeight="14"/>
  <cols>
    <col min="7" max="7" width="9" customWidth="1"/>
    <col min="13" max="13" width="9" style="3"/>
    <col min="14" max="15" width="10.75" style="4" customWidth="1"/>
    <col min="16" max="16" width="9.83203125" customWidth="1"/>
    <col min="18" max="18" width="9" style="144"/>
    <col min="19" max="19" width="9.83203125" customWidth="1"/>
    <col min="22" max="22" width="11.5" customWidth="1"/>
    <col min="25" max="25" width="11.75" customWidth="1"/>
    <col min="29" max="29" width="9" hidden="1" customWidth="1"/>
    <col min="30" max="30" width="11.75" customWidth="1"/>
  </cols>
  <sheetData>
    <row r="1" spans="1:30" ht="25">
      <c r="B1" s="154" t="str">
        <f>B4&amp;AC1</f>
        <v>成都瑞隆祥科技有限公司审计明细表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145" t="s">
        <v>21</v>
      </c>
      <c r="S3" s="7" t="s">
        <v>22</v>
      </c>
      <c r="T3" s="21" t="s">
        <v>23</v>
      </c>
      <c r="U3" s="7" t="s">
        <v>24</v>
      </c>
      <c r="V3" s="7" t="s">
        <v>25</v>
      </c>
      <c r="W3" s="7" t="s">
        <v>26</v>
      </c>
      <c r="X3" s="7" t="s">
        <v>27</v>
      </c>
      <c r="Y3" s="26" t="s">
        <v>28</v>
      </c>
      <c r="Z3" s="7" t="s">
        <v>29</v>
      </c>
      <c r="AA3" s="7" t="s">
        <v>30</v>
      </c>
      <c r="AB3" s="156"/>
      <c r="AC3" s="27"/>
    </row>
    <row r="4" spans="1:30" s="1" customFormat="1" ht="154">
      <c r="A4" s="9">
        <v>1</v>
      </c>
      <c r="B4" s="9" t="s">
        <v>205</v>
      </c>
      <c r="C4" s="9" t="s">
        <v>186</v>
      </c>
      <c r="D4" s="9" t="s">
        <v>206</v>
      </c>
      <c r="E4" s="9" t="s">
        <v>207</v>
      </c>
      <c r="F4" s="9" t="s">
        <v>154</v>
      </c>
      <c r="G4" s="9" t="s">
        <v>208</v>
      </c>
      <c r="H4" s="9" t="s">
        <v>37</v>
      </c>
      <c r="I4" s="9" t="s">
        <v>209</v>
      </c>
      <c r="J4" s="9" t="s">
        <v>210</v>
      </c>
      <c r="K4" s="9">
        <v>300</v>
      </c>
      <c r="L4" s="9" t="s">
        <v>211</v>
      </c>
      <c r="M4" s="20" t="s">
        <v>212</v>
      </c>
      <c r="N4" s="16">
        <v>44784</v>
      </c>
      <c r="O4" s="16">
        <v>44814</v>
      </c>
      <c r="P4" s="9">
        <f>P6-N4</f>
        <v>30</v>
      </c>
      <c r="Q4" s="22">
        <f>SUM(Q5:Q25)</f>
        <v>1.08</v>
      </c>
      <c r="R4" s="146">
        <v>0.25</v>
      </c>
      <c r="S4" s="9"/>
      <c r="T4" s="22">
        <f>SUM(T5:T25)</f>
        <v>0.93</v>
      </c>
      <c r="U4" s="23">
        <v>3.6999999999999998E-2</v>
      </c>
      <c r="V4" s="16"/>
      <c r="W4" s="9" t="s">
        <v>42</v>
      </c>
      <c r="X4" s="24">
        <v>0.01</v>
      </c>
      <c r="Y4" s="9">
        <f>ROUNDDOWN(IF((O4-N4+1)*K4*X4/365&gt;R4,R4,(O4-N4+1)*K4*X4/365),2)</f>
        <v>0.25</v>
      </c>
      <c r="Z4" s="22">
        <f>R4-Y4</f>
        <v>0</v>
      </c>
      <c r="AA4" s="22" t="s">
        <v>43</v>
      </c>
      <c r="AB4" s="9" t="s">
        <v>61</v>
      </c>
      <c r="AD4" s="28">
        <f>(O4-N4+1)*K4*X4/365</f>
        <v>0.25480000000000003</v>
      </c>
    </row>
    <row r="5" spans="1:30" s="2" customFormat="1" ht="42">
      <c r="A5" s="10"/>
      <c r="B5" s="10"/>
      <c r="C5" s="10"/>
      <c r="D5" s="10"/>
      <c r="E5" s="10"/>
      <c r="F5" s="10"/>
      <c r="G5" s="10"/>
      <c r="H5" s="10"/>
      <c r="I5" s="10"/>
      <c r="J5" s="10"/>
      <c r="K5" s="10"/>
      <c r="L5" s="10"/>
      <c r="M5" s="32" t="s">
        <v>213</v>
      </c>
      <c r="N5" s="18"/>
      <c r="O5" s="18"/>
      <c r="P5" s="147">
        <v>44794</v>
      </c>
      <c r="Q5" s="149">
        <v>0.36</v>
      </c>
      <c r="R5" s="150"/>
      <c r="S5" s="147">
        <f>P5</f>
        <v>44794</v>
      </c>
      <c r="T5" s="149">
        <f>(S5-N4)/360*$U$4*$K$4</f>
        <v>0.31</v>
      </c>
      <c r="U5" s="149">
        <f>T5-Q5</f>
        <v>-0.05</v>
      </c>
      <c r="V5" s="18"/>
      <c r="W5" s="10"/>
      <c r="X5" s="10"/>
      <c r="Y5" s="10">
        <f>ROUNDDOWN((V5-N4)*K4*X4/365,2)</f>
        <v>-368.08</v>
      </c>
      <c r="Z5" s="10"/>
      <c r="AA5" s="10"/>
      <c r="AB5" s="10"/>
    </row>
    <row r="6" spans="1:30" s="2" customFormat="1">
      <c r="A6" s="10"/>
      <c r="B6" s="10"/>
      <c r="C6" s="10"/>
      <c r="D6" s="10"/>
      <c r="E6" s="10"/>
      <c r="F6" s="10"/>
      <c r="G6" s="10"/>
      <c r="H6" s="10"/>
      <c r="I6" s="10"/>
      <c r="J6" s="10"/>
      <c r="K6" s="10"/>
      <c r="L6" s="10"/>
      <c r="M6" s="17"/>
      <c r="N6" s="18"/>
      <c r="O6" s="18"/>
      <c r="P6" s="147">
        <v>44814</v>
      </c>
      <c r="Q6" s="149">
        <v>0.72</v>
      </c>
      <c r="R6" s="150"/>
      <c r="S6" s="147">
        <f t="shared" ref="S6" si="0">P6</f>
        <v>44814</v>
      </c>
      <c r="T6" s="149">
        <f>(S6-S5)*$K$4*$U$4/360</f>
        <v>0.62</v>
      </c>
      <c r="U6" s="149">
        <f>T6-Q6</f>
        <v>-0.1</v>
      </c>
      <c r="V6" s="10"/>
      <c r="W6" s="10"/>
      <c r="X6" s="10"/>
      <c r="Y6" s="10"/>
      <c r="Z6" s="10"/>
      <c r="AA6" s="10"/>
      <c r="AB6" s="10"/>
    </row>
    <row r="7" spans="1:30" s="2" customFormat="1">
      <c r="A7" s="10"/>
      <c r="B7" s="10"/>
      <c r="C7" s="10"/>
      <c r="D7" s="10"/>
      <c r="E7" s="10"/>
      <c r="F7" s="10"/>
      <c r="G7" s="10"/>
      <c r="H7" s="10"/>
      <c r="I7" s="10"/>
      <c r="J7" s="10"/>
      <c r="K7" s="10"/>
      <c r="L7" s="10"/>
      <c r="M7" s="17"/>
      <c r="N7" s="18"/>
      <c r="O7" s="18"/>
      <c r="P7" s="147"/>
      <c r="Q7" s="149"/>
      <c r="R7" s="150"/>
      <c r="S7" s="147"/>
      <c r="T7" s="149"/>
      <c r="U7" s="149"/>
      <c r="V7" s="10"/>
      <c r="W7" s="10"/>
      <c r="X7" s="10"/>
      <c r="Y7" s="10"/>
      <c r="Z7" s="10"/>
      <c r="AA7" s="10"/>
      <c r="AB7" s="10"/>
    </row>
    <row r="8" spans="1:30" s="2" customFormat="1">
      <c r="A8" s="10"/>
      <c r="B8" s="10"/>
      <c r="C8" s="10"/>
      <c r="D8" s="10"/>
      <c r="E8" s="10"/>
      <c r="F8" s="10"/>
      <c r="G8" s="10"/>
      <c r="H8" s="10"/>
      <c r="I8" s="10"/>
      <c r="J8" s="10"/>
      <c r="K8" s="10"/>
      <c r="L8" s="10"/>
      <c r="M8" s="17"/>
      <c r="N8" s="18"/>
      <c r="O8" s="18"/>
      <c r="P8" s="19"/>
      <c r="Q8" s="25"/>
      <c r="R8" s="116"/>
      <c r="S8" s="19"/>
      <c r="T8" s="25"/>
      <c r="U8" s="25"/>
      <c r="V8" s="10"/>
      <c r="W8" s="10"/>
      <c r="X8" s="10"/>
      <c r="Y8" s="10"/>
      <c r="Z8" s="10"/>
      <c r="AA8" s="10"/>
      <c r="AB8" s="10"/>
    </row>
    <row r="9" spans="1:30" s="2" customFormat="1">
      <c r="A9" s="10"/>
      <c r="B9" s="10"/>
      <c r="C9" s="10"/>
      <c r="D9" s="10"/>
      <c r="E9" s="10"/>
      <c r="F9" s="10"/>
      <c r="G9" s="10"/>
      <c r="H9" s="10"/>
      <c r="I9" s="10"/>
      <c r="J9" s="10"/>
      <c r="K9" s="10"/>
      <c r="L9" s="10"/>
      <c r="M9" s="17"/>
      <c r="N9" s="18"/>
      <c r="O9" s="18"/>
      <c r="P9" s="19"/>
      <c r="Q9" s="25"/>
      <c r="R9" s="116"/>
      <c r="S9" s="19"/>
      <c r="T9" s="25"/>
      <c r="U9" s="25"/>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c r="Q10" s="25"/>
      <c r="R10" s="116"/>
      <c r="S10" s="19"/>
      <c r="T10" s="25"/>
      <c r="U10" s="25"/>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c r="Q11" s="25"/>
      <c r="R11" s="116"/>
      <c r="S11" s="19"/>
      <c r="T11" s="25"/>
      <c r="U11" s="25"/>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c r="Q12" s="25"/>
      <c r="R12" s="116"/>
      <c r="S12" s="19"/>
      <c r="T12" s="25"/>
      <c r="U12" s="25"/>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c r="Q13" s="25"/>
      <c r="R13" s="116"/>
      <c r="S13" s="19"/>
      <c r="T13" s="25"/>
      <c r="U13" s="25"/>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c r="Q14" s="25"/>
      <c r="R14" s="116"/>
      <c r="S14" s="19"/>
      <c r="T14" s="25"/>
      <c r="U14" s="25"/>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c r="Q15" s="25"/>
      <c r="R15" s="116"/>
      <c r="S15" s="19"/>
      <c r="T15" s="25"/>
      <c r="U15" s="25"/>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c r="Q16" s="25"/>
      <c r="R16" s="116"/>
      <c r="S16" s="19"/>
      <c r="T16" s="25"/>
      <c r="U16" s="25"/>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c r="Q17" s="25"/>
      <c r="R17" s="116"/>
      <c r="S17" s="19"/>
      <c r="T17" s="25"/>
      <c r="U17" s="25"/>
      <c r="V17" s="10"/>
      <c r="W17" s="10"/>
      <c r="X17" s="10"/>
      <c r="Y17" s="10"/>
      <c r="Z17" s="10"/>
      <c r="AA17" s="10"/>
      <c r="AB17" s="10"/>
    </row>
    <row r="18" spans="1:30" s="2" customFormat="1">
      <c r="A18" s="10"/>
      <c r="B18" s="10"/>
      <c r="C18" s="10"/>
      <c r="D18" s="10"/>
      <c r="E18" s="10"/>
      <c r="F18" s="10"/>
      <c r="G18" s="10"/>
      <c r="H18" s="10"/>
      <c r="I18" s="10"/>
      <c r="J18" s="10"/>
      <c r="K18" s="10"/>
      <c r="L18" s="10"/>
      <c r="M18" s="17"/>
      <c r="N18" s="18"/>
      <c r="O18" s="18"/>
      <c r="P18" s="19"/>
      <c r="Q18" s="25"/>
      <c r="R18" s="116"/>
      <c r="S18" s="19"/>
      <c r="T18" s="25"/>
      <c r="U18" s="25"/>
      <c r="V18" s="10"/>
      <c r="W18" s="10"/>
      <c r="X18" s="10"/>
      <c r="Y18" s="10"/>
      <c r="Z18" s="10"/>
      <c r="AA18" s="10"/>
      <c r="AB18" s="10"/>
    </row>
    <row r="19" spans="1:30" s="2" customFormat="1">
      <c r="A19" s="10"/>
      <c r="B19" s="10"/>
      <c r="C19" s="10"/>
      <c r="D19" s="10"/>
      <c r="E19" s="10"/>
      <c r="F19" s="10"/>
      <c r="G19" s="10"/>
      <c r="H19" s="10"/>
      <c r="I19" s="10"/>
      <c r="J19" s="10"/>
      <c r="K19" s="10"/>
      <c r="L19" s="10"/>
      <c r="M19" s="17"/>
      <c r="N19" s="18"/>
      <c r="O19" s="18"/>
      <c r="P19" s="19"/>
      <c r="Q19" s="25"/>
      <c r="R19" s="116"/>
      <c r="S19" s="19"/>
      <c r="T19" s="25"/>
      <c r="U19" s="25"/>
      <c r="V19" s="10"/>
      <c r="W19" s="10"/>
      <c r="X19" s="10"/>
      <c r="Y19" s="10"/>
      <c r="Z19" s="10"/>
      <c r="AA19" s="10"/>
      <c r="AB19" s="10"/>
    </row>
    <row r="20" spans="1:30" s="2" customFormat="1">
      <c r="A20" s="10"/>
      <c r="B20" s="10"/>
      <c r="C20" s="10"/>
      <c r="D20" s="10"/>
      <c r="E20" s="10"/>
      <c r="F20" s="10"/>
      <c r="G20" s="10"/>
      <c r="H20" s="10"/>
      <c r="I20" s="10"/>
      <c r="J20" s="10"/>
      <c r="K20" s="10"/>
      <c r="L20" s="10"/>
      <c r="M20" s="17"/>
      <c r="N20" s="18"/>
      <c r="O20" s="18"/>
      <c r="P20" s="19"/>
      <c r="Q20" s="25"/>
      <c r="R20" s="116"/>
      <c r="S20" s="19"/>
      <c r="T20" s="25"/>
      <c r="U20" s="25"/>
      <c r="V20" s="10"/>
      <c r="W20" s="10"/>
      <c r="X20" s="10"/>
      <c r="Y20" s="10"/>
      <c r="Z20" s="10"/>
      <c r="AA20" s="10"/>
      <c r="AB20" s="10"/>
    </row>
    <row r="21" spans="1:30" s="2" customFormat="1">
      <c r="A21" s="10"/>
      <c r="B21" s="10"/>
      <c r="C21" s="10"/>
      <c r="D21" s="10"/>
      <c r="E21" s="10"/>
      <c r="F21" s="10"/>
      <c r="G21" s="10"/>
      <c r="H21" s="10"/>
      <c r="I21" s="10"/>
      <c r="J21" s="10"/>
      <c r="K21" s="10"/>
      <c r="L21" s="10"/>
      <c r="M21" s="17"/>
      <c r="N21" s="18"/>
      <c r="O21" s="18"/>
      <c r="P21" s="19"/>
      <c r="Q21" s="25"/>
      <c r="R21" s="116"/>
      <c r="S21" s="19"/>
      <c r="T21" s="25"/>
      <c r="U21" s="25"/>
      <c r="V21" s="10"/>
      <c r="W21" s="10"/>
      <c r="X21" s="10"/>
      <c r="Y21" s="10"/>
      <c r="Z21" s="10"/>
      <c r="AA21" s="10"/>
      <c r="AB21" s="10"/>
    </row>
    <row r="22" spans="1:30" s="2" customFormat="1">
      <c r="A22" s="10"/>
      <c r="B22" s="10"/>
      <c r="C22" s="10"/>
      <c r="D22" s="10"/>
      <c r="E22" s="10"/>
      <c r="F22" s="10"/>
      <c r="G22" s="10"/>
      <c r="H22" s="10"/>
      <c r="I22" s="10"/>
      <c r="J22" s="10"/>
      <c r="K22" s="10"/>
      <c r="L22" s="10"/>
      <c r="M22" s="17"/>
      <c r="N22" s="18"/>
      <c r="O22" s="18"/>
      <c r="P22" s="19"/>
      <c r="Q22" s="25"/>
      <c r="R22" s="116"/>
      <c r="S22" s="19"/>
      <c r="T22" s="25"/>
      <c r="U22" s="25"/>
      <c r="V22" s="10"/>
      <c r="W22" s="10"/>
      <c r="X22" s="10"/>
      <c r="Y22" s="10"/>
      <c r="Z22" s="10"/>
      <c r="AA22" s="10"/>
      <c r="AB22" s="10"/>
    </row>
    <row r="23" spans="1:30" s="2" customFormat="1">
      <c r="A23" s="10"/>
      <c r="B23" s="10"/>
      <c r="C23" s="10"/>
      <c r="D23" s="10"/>
      <c r="E23" s="10"/>
      <c r="F23" s="10"/>
      <c r="G23" s="10"/>
      <c r="H23" s="10"/>
      <c r="I23" s="10"/>
      <c r="J23" s="10"/>
      <c r="K23" s="10"/>
      <c r="L23" s="10"/>
      <c r="M23" s="17"/>
      <c r="N23" s="18"/>
      <c r="O23" s="18"/>
      <c r="P23" s="19"/>
      <c r="Q23" s="25"/>
      <c r="R23" s="116"/>
      <c r="S23" s="19"/>
      <c r="T23" s="25"/>
      <c r="U23" s="25"/>
      <c r="V23" s="10"/>
      <c r="W23" s="10"/>
      <c r="X23" s="10"/>
      <c r="Y23" s="10"/>
      <c r="Z23" s="10"/>
      <c r="AA23" s="10"/>
      <c r="AB23" s="10"/>
    </row>
    <row r="24" spans="1:30" s="2" customFormat="1">
      <c r="A24" s="10"/>
      <c r="B24" s="10"/>
      <c r="C24" s="10"/>
      <c r="D24" s="10"/>
      <c r="E24" s="10"/>
      <c r="F24" s="10"/>
      <c r="G24" s="10"/>
      <c r="H24" s="10"/>
      <c r="I24" s="10"/>
      <c r="J24" s="10"/>
      <c r="K24" s="10"/>
      <c r="L24" s="10"/>
      <c r="M24" s="17"/>
      <c r="N24" s="18"/>
      <c r="O24" s="18"/>
      <c r="P24" s="19"/>
      <c r="Q24" s="25"/>
      <c r="R24" s="116"/>
      <c r="S24" s="19"/>
      <c r="T24" s="25"/>
      <c r="U24" s="25"/>
      <c r="V24" s="10"/>
      <c r="W24" s="10"/>
      <c r="X24" s="10"/>
      <c r="Y24" s="10"/>
      <c r="Z24" s="10"/>
      <c r="AA24" s="10"/>
      <c r="AB24" s="10"/>
    </row>
    <row r="25" spans="1:30" s="2" customFormat="1">
      <c r="A25" s="10"/>
      <c r="B25" s="10"/>
      <c r="C25" s="10"/>
      <c r="D25" s="10"/>
      <c r="E25" s="10"/>
      <c r="F25" s="10"/>
      <c r="G25" s="10"/>
      <c r="H25" s="10"/>
      <c r="I25" s="10"/>
      <c r="J25" s="10"/>
      <c r="K25" s="10"/>
      <c r="L25" s="10"/>
      <c r="M25" s="17"/>
      <c r="N25" s="18"/>
      <c r="O25" s="18"/>
      <c r="P25" s="19"/>
      <c r="Q25" s="25"/>
      <c r="R25" s="116"/>
      <c r="S25" s="19"/>
      <c r="T25" s="25"/>
      <c r="U25" s="25"/>
      <c r="V25" s="10"/>
      <c r="W25" s="10"/>
      <c r="X25" s="10"/>
      <c r="Y25" s="10"/>
      <c r="Z25" s="10"/>
      <c r="AA25" s="10"/>
      <c r="AB25" s="10"/>
    </row>
    <row r="26" spans="1:30" s="1" customFormat="1" ht="171.75" customHeight="1">
      <c r="A26" s="9">
        <v>2</v>
      </c>
      <c r="B26" s="9" t="str">
        <f>B4</f>
        <v>成都瑞隆祥科技有限公司</v>
      </c>
      <c r="C26" s="9" t="str">
        <f t="shared" ref="C26:G26" si="1">C4</f>
        <v>成都高新区市场监督管理局</v>
      </c>
      <c r="D26" s="9" t="str">
        <f t="shared" si="1"/>
        <v>91510100MA61T33473</v>
      </c>
      <c r="E26" s="9" t="str">
        <f t="shared" si="1"/>
        <v>有限责任公司(自然人投资或控股)</v>
      </c>
      <c r="F26" s="9" t="str">
        <f t="shared" si="1"/>
        <v>成都高新技术产业开发区税务局</v>
      </c>
      <c r="G26" s="9" t="str">
        <f t="shared" si="1"/>
        <v>4402243409100038006（开户行：中国工商银行股份有限公司成都金牛支行一品天下分理处）</v>
      </c>
      <c r="H26" s="9" t="s">
        <v>37</v>
      </c>
      <c r="I26" s="9" t="s">
        <v>209</v>
      </c>
      <c r="J26" s="9" t="s">
        <v>214</v>
      </c>
      <c r="K26" s="9">
        <v>100</v>
      </c>
      <c r="L26" s="9" t="s">
        <v>215</v>
      </c>
      <c r="M26" s="20" t="s">
        <v>216</v>
      </c>
      <c r="N26" s="16">
        <v>44845</v>
      </c>
      <c r="O26" s="16">
        <v>45025</v>
      </c>
      <c r="P26" s="9">
        <f>P33-N26</f>
        <v>167</v>
      </c>
      <c r="Q26" s="22">
        <f>SUM(Q27:Q47)</f>
        <v>1.98</v>
      </c>
      <c r="R26" s="146">
        <v>0.49</v>
      </c>
      <c r="S26" s="9"/>
      <c r="T26" s="9">
        <f>SUM(T27:T47)</f>
        <v>1.67</v>
      </c>
      <c r="U26" s="23">
        <v>3.6499999999999998E-2</v>
      </c>
      <c r="V26" s="16"/>
      <c r="W26" s="9" t="s">
        <v>42</v>
      </c>
      <c r="X26" s="24">
        <v>0.01</v>
      </c>
      <c r="Y26" s="9">
        <f>ROUNDDOWN(IF((O26-N26+1)*K26*X26/365&gt;R26,R26,(O26-N26+1)*K26*X26/365),2)</f>
        <v>0.49</v>
      </c>
      <c r="Z26" s="146">
        <f>R26-Y26</f>
        <v>0</v>
      </c>
      <c r="AA26" s="9"/>
      <c r="AB26" s="9" t="s">
        <v>61</v>
      </c>
      <c r="AD26" s="1">
        <f>(O26-N26+1)*K26*X26/365</f>
        <v>0.49589041095890402</v>
      </c>
    </row>
    <row r="27" spans="1:30" s="2" customFormat="1" ht="42">
      <c r="A27" s="10"/>
      <c r="B27" s="10"/>
      <c r="C27" s="10"/>
      <c r="D27" s="10"/>
      <c r="E27" s="10"/>
      <c r="F27" s="10"/>
      <c r="G27" s="10"/>
      <c r="H27" s="10"/>
      <c r="I27" s="10"/>
      <c r="J27" s="10"/>
      <c r="K27" s="10"/>
      <c r="L27" s="10"/>
      <c r="M27" s="32" t="s">
        <v>213</v>
      </c>
      <c r="N27" s="18"/>
      <c r="O27" s="16"/>
      <c r="P27" s="19">
        <v>44855</v>
      </c>
      <c r="Q27" s="25">
        <v>0.12</v>
      </c>
      <c r="R27" s="116"/>
      <c r="S27" s="19">
        <f>P27</f>
        <v>44855</v>
      </c>
      <c r="T27" s="25">
        <f>(S27-N26)/360*$U$26*$K$26</f>
        <v>0.1</v>
      </c>
      <c r="U27" s="25">
        <f>T27-Q27</f>
        <v>-0.02</v>
      </c>
      <c r="V27" s="18"/>
      <c r="W27" s="10"/>
      <c r="X27" s="10"/>
      <c r="Y27" s="29">
        <f>ROUNDUP((V27-N26)*K26*X26/365,2)</f>
        <v>-122.87</v>
      </c>
      <c r="Z27" s="10"/>
      <c r="AA27" s="10"/>
      <c r="AB27" s="10"/>
    </row>
    <row r="28" spans="1:30" s="2" customFormat="1">
      <c r="A28" s="10"/>
      <c r="B28" s="10"/>
      <c r="C28" s="10"/>
      <c r="D28" s="10"/>
      <c r="E28" s="10"/>
      <c r="F28" s="10"/>
      <c r="G28" s="10"/>
      <c r="H28" s="10"/>
      <c r="I28" s="10"/>
      <c r="J28" s="10"/>
      <c r="K28" s="10"/>
      <c r="L28" s="10"/>
      <c r="M28" s="17"/>
      <c r="N28" s="18"/>
      <c r="O28" s="18"/>
      <c r="P28" s="19">
        <v>44886</v>
      </c>
      <c r="Q28" s="25">
        <v>0.37</v>
      </c>
      <c r="R28" s="116"/>
      <c r="S28" s="19">
        <f t="shared" ref="S28:S33" si="2">P28</f>
        <v>44886</v>
      </c>
      <c r="T28" s="25">
        <f>(S28-S27)*$U$26*$K$26/360</f>
        <v>0.31</v>
      </c>
      <c r="U28" s="25">
        <f t="shared" ref="U28:U33" si="3">T28-Q28</f>
        <v>-0.06</v>
      </c>
      <c r="V28" s="10"/>
      <c r="W28" s="10"/>
      <c r="X28" s="10"/>
      <c r="Y28" s="29">
        <f>ROUNDUP((O26-V27+1)*(K26-W27)*X26/365,2)</f>
        <v>123.36</v>
      </c>
      <c r="Z28" s="10"/>
      <c r="AA28" s="10"/>
      <c r="AB28" s="10"/>
    </row>
    <row r="29" spans="1:30" s="2" customFormat="1">
      <c r="A29" s="10"/>
      <c r="B29" s="10"/>
      <c r="C29" s="10"/>
      <c r="D29" s="10"/>
      <c r="E29" s="10"/>
      <c r="F29" s="10"/>
      <c r="G29" s="10"/>
      <c r="H29" s="10"/>
      <c r="I29" s="10"/>
      <c r="J29" s="10"/>
      <c r="K29" s="10"/>
      <c r="L29" s="10"/>
      <c r="M29" s="17"/>
      <c r="N29" s="18"/>
      <c r="O29" s="18"/>
      <c r="P29" s="19">
        <v>44916</v>
      </c>
      <c r="Q29" s="25">
        <v>0.35</v>
      </c>
      <c r="R29" s="116"/>
      <c r="S29" s="19">
        <f t="shared" si="2"/>
        <v>44916</v>
      </c>
      <c r="T29" s="25">
        <f t="shared" ref="T29:T33" si="4">(S29-S28)*$U$26*$K$26/360</f>
        <v>0.3</v>
      </c>
      <c r="U29" s="25">
        <f t="shared" si="3"/>
        <v>-0.05</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44947</v>
      </c>
      <c r="Q30" s="25">
        <v>0.37</v>
      </c>
      <c r="R30" s="116"/>
      <c r="S30" s="19">
        <f t="shared" si="2"/>
        <v>44947</v>
      </c>
      <c r="T30" s="25">
        <f t="shared" si="4"/>
        <v>0.31</v>
      </c>
      <c r="U30" s="25">
        <f t="shared" si="3"/>
        <v>-0.06</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44978</v>
      </c>
      <c r="Q31" s="25">
        <v>0.37</v>
      </c>
      <c r="R31" s="116"/>
      <c r="S31" s="19">
        <f t="shared" si="2"/>
        <v>44978</v>
      </c>
      <c r="T31" s="25">
        <f t="shared" si="4"/>
        <v>0.31</v>
      </c>
      <c r="U31" s="25">
        <f t="shared" si="3"/>
        <v>-0.06</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45006</v>
      </c>
      <c r="Q32" s="25">
        <v>0.33</v>
      </c>
      <c r="R32" s="116"/>
      <c r="S32" s="19">
        <f t="shared" si="2"/>
        <v>45006</v>
      </c>
      <c r="T32" s="25">
        <f t="shared" si="4"/>
        <v>0.28000000000000003</v>
      </c>
      <c r="U32" s="25">
        <f t="shared" si="3"/>
        <v>-0.05</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48">
        <v>45012</v>
      </c>
      <c r="Q33" s="25">
        <v>7.0000000000000007E-2</v>
      </c>
      <c r="R33" s="116"/>
      <c r="S33" s="19">
        <f t="shared" si="2"/>
        <v>45012</v>
      </c>
      <c r="T33" s="25">
        <f t="shared" si="4"/>
        <v>0.06</v>
      </c>
      <c r="U33" s="25">
        <f t="shared" si="3"/>
        <v>-0.01</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c r="Q34" s="25"/>
      <c r="R34" s="116"/>
      <c r="S34" s="19"/>
      <c r="T34" s="25"/>
      <c r="U34" s="25"/>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c r="Q35" s="25"/>
      <c r="R35" s="116"/>
      <c r="S35" s="19"/>
      <c r="T35" s="25"/>
      <c r="U35" s="25"/>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c r="Q36" s="25"/>
      <c r="R36" s="116"/>
      <c r="S36" s="19"/>
      <c r="T36" s="25"/>
      <c r="U36" s="25"/>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c r="Q37" s="25"/>
      <c r="R37" s="116"/>
      <c r="S37" s="19"/>
      <c r="T37" s="25"/>
      <c r="U37" s="25"/>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c r="Q38" s="25"/>
      <c r="R38" s="116"/>
      <c r="S38" s="19"/>
      <c r="T38" s="25"/>
      <c r="U38" s="25"/>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c r="Q39" s="25"/>
      <c r="R39" s="116"/>
      <c r="S39" s="19"/>
      <c r="T39" s="25"/>
      <c r="U39" s="25"/>
      <c r="V39" s="10"/>
      <c r="W39" s="10"/>
      <c r="X39" s="10"/>
      <c r="Y39" s="10"/>
      <c r="Z39" s="10"/>
      <c r="AA39" s="10"/>
      <c r="AB39" s="10"/>
    </row>
    <row r="40" spans="1:28" s="2" customFormat="1">
      <c r="A40" s="10"/>
      <c r="B40" s="10"/>
      <c r="C40" s="10"/>
      <c r="D40" s="10"/>
      <c r="E40" s="10"/>
      <c r="F40" s="10"/>
      <c r="G40" s="10"/>
      <c r="H40" s="10"/>
      <c r="I40" s="10"/>
      <c r="J40" s="10"/>
      <c r="K40" s="10"/>
      <c r="L40" s="10"/>
      <c r="M40" s="17"/>
      <c r="N40" s="18"/>
      <c r="O40" s="18"/>
      <c r="P40" s="19"/>
      <c r="Q40" s="25"/>
      <c r="R40" s="116"/>
      <c r="S40" s="19"/>
      <c r="T40" s="25"/>
      <c r="U40" s="25"/>
      <c r="V40" s="10"/>
      <c r="W40" s="10"/>
      <c r="X40" s="10"/>
      <c r="Y40" s="10"/>
      <c r="Z40" s="10"/>
      <c r="AA40" s="10"/>
      <c r="AB40" s="10"/>
    </row>
    <row r="41" spans="1:28" s="2" customFormat="1">
      <c r="A41" s="10"/>
      <c r="B41" s="10"/>
      <c r="C41" s="10"/>
      <c r="D41" s="10"/>
      <c r="E41" s="10"/>
      <c r="F41" s="10"/>
      <c r="G41" s="10"/>
      <c r="H41" s="10"/>
      <c r="I41" s="10"/>
      <c r="J41" s="10"/>
      <c r="K41" s="10"/>
      <c r="L41" s="10"/>
      <c r="M41" s="17"/>
      <c r="N41" s="18"/>
      <c r="O41" s="18"/>
      <c r="P41" s="19"/>
      <c r="Q41" s="25"/>
      <c r="R41" s="116"/>
      <c r="S41" s="19"/>
      <c r="T41" s="25"/>
      <c r="U41" s="25"/>
      <c r="V41" s="10"/>
      <c r="W41" s="10"/>
      <c r="X41" s="10"/>
      <c r="Y41" s="10"/>
      <c r="Z41" s="10"/>
      <c r="AA41" s="10"/>
      <c r="AB41" s="10"/>
    </row>
    <row r="42" spans="1:28" s="2" customFormat="1">
      <c r="A42" s="10"/>
      <c r="B42" s="10"/>
      <c r="C42" s="10"/>
      <c r="D42" s="10"/>
      <c r="E42" s="10"/>
      <c r="F42" s="10"/>
      <c r="G42" s="10"/>
      <c r="H42" s="10"/>
      <c r="I42" s="10"/>
      <c r="J42" s="10"/>
      <c r="K42" s="10"/>
      <c r="L42" s="10"/>
      <c r="M42" s="17"/>
      <c r="N42" s="18"/>
      <c r="O42" s="18"/>
      <c r="P42" s="19"/>
      <c r="Q42" s="25"/>
      <c r="R42" s="116"/>
      <c r="S42" s="19"/>
      <c r="T42" s="25"/>
      <c r="U42" s="25"/>
      <c r="V42" s="10"/>
      <c r="W42" s="10"/>
      <c r="X42" s="10"/>
      <c r="Y42" s="10"/>
      <c r="Z42" s="10"/>
      <c r="AA42" s="10"/>
      <c r="AB42" s="10"/>
    </row>
    <row r="43" spans="1:28" s="2" customFormat="1">
      <c r="A43" s="10"/>
      <c r="B43" s="10"/>
      <c r="C43" s="10"/>
      <c r="D43" s="10"/>
      <c r="E43" s="10"/>
      <c r="F43" s="10"/>
      <c r="G43" s="10"/>
      <c r="H43" s="10"/>
      <c r="I43" s="10"/>
      <c r="J43" s="10"/>
      <c r="K43" s="10"/>
      <c r="L43" s="10"/>
      <c r="M43" s="17"/>
      <c r="N43" s="18"/>
      <c r="O43" s="18"/>
      <c r="P43" s="19"/>
      <c r="Q43" s="25"/>
      <c r="R43" s="116"/>
      <c r="S43" s="19"/>
      <c r="T43" s="25"/>
      <c r="U43" s="25"/>
      <c r="V43" s="10"/>
      <c r="W43" s="10"/>
      <c r="X43" s="10"/>
      <c r="Y43" s="10"/>
      <c r="Z43" s="10"/>
      <c r="AA43" s="10"/>
      <c r="AB43" s="10"/>
    </row>
    <row r="44" spans="1:28" s="2" customFormat="1">
      <c r="A44" s="10"/>
      <c r="B44" s="10"/>
      <c r="C44" s="10"/>
      <c r="D44" s="10"/>
      <c r="E44" s="10"/>
      <c r="F44" s="10"/>
      <c r="G44" s="10"/>
      <c r="H44" s="10"/>
      <c r="I44" s="10"/>
      <c r="J44" s="10"/>
      <c r="K44" s="10"/>
      <c r="L44" s="10"/>
      <c r="M44" s="17"/>
      <c r="N44" s="18"/>
      <c r="O44" s="18"/>
      <c r="P44" s="19"/>
      <c r="Q44" s="25"/>
      <c r="R44" s="116"/>
      <c r="S44" s="19"/>
      <c r="T44" s="25"/>
      <c r="U44" s="25"/>
      <c r="V44" s="10"/>
      <c r="W44" s="10"/>
      <c r="X44" s="10"/>
      <c r="Y44" s="10"/>
      <c r="Z44" s="10"/>
      <c r="AA44" s="10"/>
      <c r="AB44" s="10"/>
    </row>
    <row r="45" spans="1:28" s="2" customFormat="1">
      <c r="A45" s="10"/>
      <c r="B45" s="10"/>
      <c r="C45" s="10"/>
      <c r="D45" s="10"/>
      <c r="E45" s="10"/>
      <c r="F45" s="10"/>
      <c r="G45" s="10"/>
      <c r="H45" s="10"/>
      <c r="I45" s="10"/>
      <c r="J45" s="10"/>
      <c r="K45" s="10"/>
      <c r="L45" s="10"/>
      <c r="M45" s="17"/>
      <c r="N45" s="18"/>
      <c r="O45" s="18"/>
      <c r="P45" s="19"/>
      <c r="Q45" s="25"/>
      <c r="R45" s="116"/>
      <c r="S45" s="19"/>
      <c r="T45" s="25"/>
      <c r="U45" s="25"/>
      <c r="V45" s="10"/>
      <c r="W45" s="10"/>
      <c r="X45" s="10"/>
      <c r="Y45" s="10"/>
      <c r="Z45" s="10"/>
      <c r="AA45" s="10"/>
      <c r="AB45" s="10"/>
    </row>
    <row r="46" spans="1:28" s="2" customFormat="1">
      <c r="A46" s="10"/>
      <c r="B46" s="10"/>
      <c r="C46" s="10"/>
      <c r="D46" s="10"/>
      <c r="E46" s="10"/>
      <c r="F46" s="10"/>
      <c r="G46" s="10"/>
      <c r="H46" s="10"/>
      <c r="I46" s="10"/>
      <c r="J46" s="10"/>
      <c r="K46" s="10"/>
      <c r="L46" s="10"/>
      <c r="M46" s="17"/>
      <c r="N46" s="18"/>
      <c r="O46" s="18"/>
      <c r="P46" s="19"/>
      <c r="Q46" s="25"/>
      <c r="R46" s="116"/>
      <c r="S46" s="19"/>
      <c r="T46" s="25"/>
      <c r="U46" s="25"/>
      <c r="V46" s="10"/>
      <c r="W46" s="10"/>
      <c r="X46" s="10"/>
      <c r="Y46" s="10"/>
      <c r="Z46" s="10"/>
      <c r="AA46" s="10"/>
      <c r="AB46" s="10"/>
    </row>
    <row r="47" spans="1:28" s="2" customFormat="1">
      <c r="A47" s="10"/>
      <c r="B47" s="10"/>
      <c r="C47" s="10"/>
      <c r="D47" s="10"/>
      <c r="E47" s="10"/>
      <c r="F47" s="10"/>
      <c r="G47" s="10"/>
      <c r="H47" s="10"/>
      <c r="I47" s="10"/>
      <c r="J47" s="10"/>
      <c r="K47" s="10"/>
      <c r="L47" s="10"/>
      <c r="M47" s="17"/>
      <c r="N47" s="18"/>
      <c r="O47" s="18"/>
      <c r="P47" s="19"/>
      <c r="Q47" s="25"/>
      <c r="R47" s="116"/>
      <c r="S47" s="19"/>
      <c r="T47" s="25"/>
      <c r="U47" s="25"/>
      <c r="V47" s="10"/>
      <c r="W47" s="10"/>
      <c r="X47" s="10"/>
      <c r="Y47" s="10"/>
      <c r="Z47" s="10"/>
      <c r="AA47" s="10"/>
      <c r="AB47" s="10"/>
    </row>
    <row r="48" spans="1:28" s="1" customFormat="1" ht="154">
      <c r="A48" s="9">
        <v>3</v>
      </c>
      <c r="B48" s="9" t="str">
        <f>B26</f>
        <v>成都瑞隆祥科技有限公司</v>
      </c>
      <c r="C48" s="9" t="str">
        <f t="shared" ref="C48:G48" si="5">C26</f>
        <v>成都高新区市场监督管理局</v>
      </c>
      <c r="D48" s="9" t="str">
        <f t="shared" si="5"/>
        <v>91510100MA61T33473</v>
      </c>
      <c r="E48" s="9" t="str">
        <f t="shared" si="5"/>
        <v>有限责任公司(自然人投资或控股)</v>
      </c>
      <c r="F48" s="9" t="str">
        <f t="shared" si="5"/>
        <v>成都高新技术产业开发区税务局</v>
      </c>
      <c r="G48" s="9" t="str">
        <f t="shared" si="5"/>
        <v>4402243409100038006（开户行：中国工商银行股份有限公司成都金牛支行一品天下分理处）</v>
      </c>
      <c r="H48" s="9" t="s">
        <v>37</v>
      </c>
      <c r="I48" s="9" t="s">
        <v>209</v>
      </c>
      <c r="J48" s="9" t="s">
        <v>214</v>
      </c>
      <c r="K48" s="9">
        <v>50</v>
      </c>
      <c r="L48" s="9" t="s">
        <v>217</v>
      </c>
      <c r="M48" s="20" t="s">
        <v>218</v>
      </c>
      <c r="N48" s="16">
        <v>44845</v>
      </c>
      <c r="O48" s="16">
        <v>45025</v>
      </c>
      <c r="P48" s="9">
        <f>P55-N48</f>
        <v>177</v>
      </c>
      <c r="Q48" s="22">
        <f>SUM(Q49:Q69)</f>
        <v>1.04</v>
      </c>
      <c r="R48" s="146">
        <v>0.25</v>
      </c>
      <c r="S48" s="9"/>
      <c r="T48" s="9">
        <f>SUM(T49:T69)</f>
        <v>0.9</v>
      </c>
      <c r="U48" s="23">
        <v>3.6499999999999998E-2</v>
      </c>
      <c r="V48" s="16"/>
      <c r="W48" s="9" t="s">
        <v>42</v>
      </c>
      <c r="X48" s="24">
        <v>0.01</v>
      </c>
      <c r="Y48" s="9">
        <f>ROUNDDOWN(IF((O48-N48+1)*K48*X48/365&gt;R48,R48,(O48-N48+1)*K48*X48/365),2)</f>
        <v>0.24</v>
      </c>
      <c r="Z48" s="151"/>
      <c r="AA48" s="30"/>
      <c r="AB48" s="9" t="s">
        <v>61</v>
      </c>
    </row>
    <row r="49" spans="1:28" s="2" customFormat="1" ht="42">
      <c r="A49" s="10"/>
      <c r="B49" s="10"/>
      <c r="C49" s="10"/>
      <c r="D49" s="10"/>
      <c r="E49" s="10"/>
      <c r="F49" s="10"/>
      <c r="G49" s="10"/>
      <c r="H49" s="10"/>
      <c r="I49" s="10"/>
      <c r="J49" s="10"/>
      <c r="K49" s="10"/>
      <c r="L49" s="10"/>
      <c r="M49" s="32" t="s">
        <v>213</v>
      </c>
      <c r="N49" s="18"/>
      <c r="O49" s="16">
        <v>45025</v>
      </c>
      <c r="P49" s="19">
        <v>44855</v>
      </c>
      <c r="Q49" s="25">
        <v>0.06</v>
      </c>
      <c r="R49" s="116"/>
      <c r="S49" s="19">
        <f>P49</f>
        <v>44855</v>
      </c>
      <c r="T49" s="25">
        <f>(S49-N48)/360*$U$48*$K$48</f>
        <v>0.05</v>
      </c>
      <c r="U49" s="25">
        <f>T49-Q49</f>
        <v>-0.01</v>
      </c>
      <c r="V49" s="18"/>
      <c r="W49" s="10"/>
      <c r="X49" s="10"/>
      <c r="Y49" s="10"/>
      <c r="Z49" s="10"/>
      <c r="AA49" s="10"/>
      <c r="AB49" s="10"/>
    </row>
    <row r="50" spans="1:28" s="2" customFormat="1">
      <c r="A50" s="10"/>
      <c r="B50" s="10"/>
      <c r="C50" s="10"/>
      <c r="D50" s="10"/>
      <c r="E50" s="10"/>
      <c r="F50" s="10"/>
      <c r="G50" s="10"/>
      <c r="H50" s="10"/>
      <c r="I50" s="10"/>
      <c r="J50" s="10"/>
      <c r="K50" s="10"/>
      <c r="L50" s="10"/>
      <c r="M50" s="17"/>
      <c r="N50" s="18"/>
      <c r="O50" s="18"/>
      <c r="P50" s="19">
        <v>44886</v>
      </c>
      <c r="Q50" s="25">
        <v>0.18</v>
      </c>
      <c r="R50" s="116"/>
      <c r="S50" s="19">
        <f t="shared" ref="S50:S55" si="6">P50</f>
        <v>44886</v>
      </c>
      <c r="T50" s="25">
        <f>(S50-S49)*$U$48*$K$48/360</f>
        <v>0.16</v>
      </c>
      <c r="U50" s="25">
        <f t="shared" ref="U50:U55" si="7">T50-Q50</f>
        <v>-0.02</v>
      </c>
      <c r="V50" s="10"/>
      <c r="W50" s="10"/>
      <c r="X50" s="10"/>
      <c r="Y50" s="10"/>
      <c r="Z50" s="10"/>
      <c r="AA50" s="10"/>
      <c r="AB50" s="10"/>
    </row>
    <row r="51" spans="1:28" s="2" customFormat="1">
      <c r="A51" s="10"/>
      <c r="B51" s="10"/>
      <c r="C51" s="10"/>
      <c r="D51" s="10"/>
      <c r="E51" s="10"/>
      <c r="F51" s="10"/>
      <c r="G51" s="10"/>
      <c r="H51" s="10"/>
      <c r="I51" s="10"/>
      <c r="J51" s="10"/>
      <c r="K51" s="10"/>
      <c r="L51" s="10"/>
      <c r="M51" s="17"/>
      <c r="N51" s="18"/>
      <c r="O51" s="18"/>
      <c r="P51" s="19">
        <v>44916</v>
      </c>
      <c r="Q51" s="25">
        <v>0.18</v>
      </c>
      <c r="R51" s="116"/>
      <c r="S51" s="19">
        <f t="shared" si="6"/>
        <v>44916</v>
      </c>
      <c r="T51" s="25">
        <f t="shared" ref="T51:T55" si="8">(S51-S50)*$U$48*$K$48/360</f>
        <v>0.15</v>
      </c>
      <c r="U51" s="25">
        <f t="shared" si="7"/>
        <v>-0.03</v>
      </c>
      <c r="V51" s="10"/>
      <c r="W51" s="10"/>
      <c r="X51" s="10"/>
      <c r="Y51" s="10"/>
      <c r="Z51" s="10"/>
      <c r="AA51" s="10"/>
      <c r="AB51" s="10"/>
    </row>
    <row r="52" spans="1:28" s="2" customFormat="1">
      <c r="A52" s="10"/>
      <c r="B52" s="10"/>
      <c r="C52" s="10"/>
      <c r="D52" s="10"/>
      <c r="E52" s="10"/>
      <c r="F52" s="10"/>
      <c r="G52" s="10"/>
      <c r="H52" s="10"/>
      <c r="I52" s="10"/>
      <c r="J52" s="10"/>
      <c r="K52" s="10"/>
      <c r="L52" s="10"/>
      <c r="M52" s="17"/>
      <c r="N52" s="18"/>
      <c r="O52" s="18"/>
      <c r="P52" s="19">
        <v>44947</v>
      </c>
      <c r="Q52" s="25">
        <v>0.18</v>
      </c>
      <c r="R52" s="116"/>
      <c r="S52" s="19">
        <f t="shared" si="6"/>
        <v>44947</v>
      </c>
      <c r="T52" s="25">
        <f t="shared" si="8"/>
        <v>0.16</v>
      </c>
      <c r="U52" s="25">
        <f t="shared" si="7"/>
        <v>-0.02</v>
      </c>
      <c r="V52" s="10"/>
      <c r="W52" s="10"/>
      <c r="X52" s="10"/>
      <c r="Y52" s="10"/>
      <c r="Z52" s="10"/>
      <c r="AA52" s="10"/>
      <c r="AB52" s="10"/>
    </row>
    <row r="53" spans="1:28" s="2" customFormat="1">
      <c r="A53" s="10"/>
      <c r="B53" s="10"/>
      <c r="C53" s="10"/>
      <c r="D53" s="10"/>
      <c r="E53" s="10"/>
      <c r="F53" s="10"/>
      <c r="G53" s="10"/>
      <c r="H53" s="10"/>
      <c r="I53" s="10"/>
      <c r="J53" s="10"/>
      <c r="K53" s="10"/>
      <c r="L53" s="10"/>
      <c r="M53" s="17"/>
      <c r="N53" s="18"/>
      <c r="O53" s="18"/>
      <c r="P53" s="19">
        <v>44978</v>
      </c>
      <c r="Q53" s="25">
        <v>0.18</v>
      </c>
      <c r="R53" s="116"/>
      <c r="S53" s="19">
        <f t="shared" si="6"/>
        <v>44978</v>
      </c>
      <c r="T53" s="25">
        <f t="shared" si="8"/>
        <v>0.16</v>
      </c>
      <c r="U53" s="25">
        <f t="shared" si="7"/>
        <v>-0.02</v>
      </c>
      <c r="V53" s="10"/>
      <c r="W53" s="10"/>
      <c r="X53" s="10"/>
      <c r="Y53" s="10"/>
      <c r="Z53" s="10"/>
      <c r="AA53" s="10"/>
      <c r="AB53" s="10"/>
    </row>
    <row r="54" spans="1:28" s="2" customFormat="1">
      <c r="A54" s="10"/>
      <c r="B54" s="10"/>
      <c r="C54" s="10"/>
      <c r="D54" s="10"/>
      <c r="E54" s="10"/>
      <c r="F54" s="10"/>
      <c r="G54" s="10"/>
      <c r="H54" s="10"/>
      <c r="I54" s="10"/>
      <c r="J54" s="10"/>
      <c r="K54" s="10"/>
      <c r="L54" s="10"/>
      <c r="M54" s="17"/>
      <c r="N54" s="18"/>
      <c r="O54" s="18"/>
      <c r="P54" s="19">
        <v>45006</v>
      </c>
      <c r="Q54" s="25">
        <v>0.17</v>
      </c>
      <c r="R54" s="116"/>
      <c r="S54" s="19">
        <f t="shared" si="6"/>
        <v>45006</v>
      </c>
      <c r="T54" s="25">
        <f t="shared" si="8"/>
        <v>0.14000000000000001</v>
      </c>
      <c r="U54" s="25">
        <f t="shared" si="7"/>
        <v>-0.03</v>
      </c>
      <c r="V54" s="10"/>
      <c r="W54" s="10"/>
      <c r="X54" s="10"/>
      <c r="Y54" s="10"/>
      <c r="Z54" s="10"/>
      <c r="AA54" s="10"/>
      <c r="AB54" s="10"/>
    </row>
    <row r="55" spans="1:28" s="2" customFormat="1">
      <c r="A55" s="10"/>
      <c r="B55" s="10"/>
      <c r="C55" s="10"/>
      <c r="D55" s="10"/>
      <c r="E55" s="10"/>
      <c r="F55" s="10"/>
      <c r="G55" s="10"/>
      <c r="H55" s="10"/>
      <c r="I55" s="10"/>
      <c r="J55" s="10"/>
      <c r="K55" s="10"/>
      <c r="L55" s="10"/>
      <c r="M55" s="17"/>
      <c r="N55" s="18"/>
      <c r="O55" s="18"/>
      <c r="P55" s="19">
        <v>45022</v>
      </c>
      <c r="Q55" s="25">
        <v>0.09</v>
      </c>
      <c r="R55" s="116"/>
      <c r="S55" s="19">
        <f t="shared" si="6"/>
        <v>45022</v>
      </c>
      <c r="T55" s="25">
        <f t="shared" si="8"/>
        <v>0.08</v>
      </c>
      <c r="U55" s="25">
        <f t="shared" si="7"/>
        <v>-0.01</v>
      </c>
      <c r="V55" s="10"/>
      <c r="W55" s="10"/>
      <c r="X55" s="10"/>
      <c r="Y55" s="10"/>
      <c r="Z55" s="10"/>
      <c r="AA55" s="10"/>
      <c r="AB55" s="10"/>
    </row>
    <row r="56" spans="1:28" s="2" customFormat="1">
      <c r="A56" s="10"/>
      <c r="B56" s="10"/>
      <c r="C56" s="10"/>
      <c r="D56" s="10"/>
      <c r="E56" s="10"/>
      <c r="F56" s="10"/>
      <c r="G56" s="10"/>
      <c r="H56" s="10"/>
      <c r="I56" s="10"/>
      <c r="J56" s="10"/>
      <c r="K56" s="10"/>
      <c r="L56" s="10"/>
      <c r="M56" s="17"/>
      <c r="N56" s="18"/>
      <c r="O56" s="18"/>
      <c r="P56" s="19"/>
      <c r="Q56" s="25"/>
      <c r="R56" s="116"/>
      <c r="S56" s="19"/>
      <c r="T56" s="25"/>
      <c r="U56" s="25"/>
      <c r="V56" s="10"/>
      <c r="W56" s="10"/>
      <c r="X56" s="10"/>
      <c r="Y56" s="10"/>
      <c r="Z56" s="10"/>
      <c r="AA56" s="10"/>
      <c r="AB56" s="10"/>
    </row>
    <row r="57" spans="1:28" s="2" customFormat="1">
      <c r="A57" s="10"/>
      <c r="B57" s="10"/>
      <c r="C57" s="10"/>
      <c r="D57" s="10"/>
      <c r="E57" s="10"/>
      <c r="F57" s="10"/>
      <c r="G57" s="10"/>
      <c r="H57" s="10"/>
      <c r="I57" s="10"/>
      <c r="J57" s="10"/>
      <c r="K57" s="10"/>
      <c r="L57" s="10"/>
      <c r="M57" s="17"/>
      <c r="N57" s="18"/>
      <c r="O57" s="18"/>
      <c r="P57" s="19"/>
      <c r="Q57" s="25"/>
      <c r="R57" s="116"/>
      <c r="S57" s="19"/>
      <c r="T57" s="25"/>
      <c r="U57" s="25"/>
      <c r="V57" s="10"/>
      <c r="W57" s="10"/>
      <c r="X57" s="10"/>
      <c r="Y57" s="10"/>
      <c r="Z57" s="10"/>
      <c r="AA57" s="10"/>
      <c r="AB57" s="10"/>
    </row>
    <row r="58" spans="1:28" s="2" customFormat="1">
      <c r="A58" s="10"/>
      <c r="B58" s="10"/>
      <c r="C58" s="10"/>
      <c r="D58" s="10"/>
      <c r="E58" s="10"/>
      <c r="F58" s="10"/>
      <c r="G58" s="10"/>
      <c r="H58" s="10"/>
      <c r="I58" s="10"/>
      <c r="J58" s="10"/>
      <c r="K58" s="10"/>
      <c r="L58" s="10"/>
      <c r="M58" s="17"/>
      <c r="N58" s="18"/>
      <c r="O58" s="18"/>
      <c r="P58" s="19"/>
      <c r="Q58" s="25"/>
      <c r="R58" s="116"/>
      <c r="S58" s="19"/>
      <c r="T58" s="25"/>
      <c r="U58" s="25"/>
      <c r="V58" s="10"/>
      <c r="W58" s="10"/>
      <c r="X58" s="10"/>
      <c r="Y58" s="10"/>
      <c r="Z58" s="10"/>
      <c r="AA58" s="10"/>
      <c r="AB58" s="10"/>
    </row>
    <row r="59" spans="1:28" s="2" customFormat="1">
      <c r="A59" s="10"/>
      <c r="B59" s="10"/>
      <c r="C59" s="10"/>
      <c r="D59" s="10"/>
      <c r="E59" s="10"/>
      <c r="F59" s="10"/>
      <c r="G59" s="10"/>
      <c r="H59" s="10"/>
      <c r="I59" s="10"/>
      <c r="J59" s="10"/>
      <c r="K59" s="10"/>
      <c r="L59" s="10"/>
      <c r="M59" s="17"/>
      <c r="N59" s="18"/>
      <c r="O59" s="18"/>
      <c r="P59" s="19"/>
      <c r="Q59" s="25"/>
      <c r="R59" s="116"/>
      <c r="S59" s="19"/>
      <c r="T59" s="25"/>
      <c r="U59" s="25"/>
      <c r="V59" s="10"/>
      <c r="W59" s="10"/>
      <c r="X59" s="10"/>
      <c r="Y59" s="10"/>
      <c r="Z59" s="10"/>
      <c r="AA59" s="10"/>
      <c r="AB59" s="10"/>
    </row>
    <row r="60" spans="1:28" s="2" customFormat="1">
      <c r="A60" s="10"/>
      <c r="B60" s="10"/>
      <c r="C60" s="10"/>
      <c r="D60" s="10"/>
      <c r="E60" s="10"/>
      <c r="F60" s="10"/>
      <c r="G60" s="10"/>
      <c r="H60" s="10"/>
      <c r="I60" s="10"/>
      <c r="J60" s="10"/>
      <c r="K60" s="10"/>
      <c r="L60" s="10"/>
      <c r="M60" s="17"/>
      <c r="N60" s="18"/>
      <c r="O60" s="18"/>
      <c r="P60" s="19"/>
      <c r="Q60" s="25"/>
      <c r="R60" s="116"/>
      <c r="S60" s="19"/>
      <c r="T60" s="25"/>
      <c r="U60" s="25"/>
      <c r="V60" s="10"/>
      <c r="W60" s="10"/>
      <c r="X60" s="10"/>
      <c r="Y60" s="10"/>
      <c r="Z60" s="10"/>
      <c r="AA60" s="10"/>
      <c r="AB60" s="10"/>
    </row>
    <row r="61" spans="1:28" s="2" customFormat="1">
      <c r="A61" s="10"/>
      <c r="B61" s="10"/>
      <c r="C61" s="10"/>
      <c r="D61" s="10"/>
      <c r="E61" s="10"/>
      <c r="F61" s="10"/>
      <c r="G61" s="10"/>
      <c r="H61" s="10"/>
      <c r="I61" s="10"/>
      <c r="J61" s="10"/>
      <c r="K61" s="10"/>
      <c r="L61" s="10"/>
      <c r="M61" s="17"/>
      <c r="N61" s="18"/>
      <c r="O61" s="18"/>
      <c r="P61" s="19"/>
      <c r="Q61" s="25"/>
      <c r="R61" s="116"/>
      <c r="S61" s="19"/>
      <c r="T61" s="25"/>
      <c r="U61" s="25"/>
      <c r="V61" s="10"/>
      <c r="W61" s="10"/>
      <c r="X61" s="10"/>
      <c r="Y61" s="10"/>
      <c r="Z61" s="10"/>
      <c r="AA61" s="10"/>
      <c r="AB61" s="10"/>
    </row>
    <row r="62" spans="1:28" s="2" customFormat="1">
      <c r="A62" s="10"/>
      <c r="B62" s="10"/>
      <c r="C62" s="10"/>
      <c r="D62" s="10"/>
      <c r="E62" s="10"/>
      <c r="F62" s="10"/>
      <c r="G62" s="10"/>
      <c r="H62" s="10"/>
      <c r="I62" s="10"/>
      <c r="J62" s="10"/>
      <c r="K62" s="10"/>
      <c r="L62" s="10"/>
      <c r="M62" s="17"/>
      <c r="N62" s="18"/>
      <c r="O62" s="18"/>
      <c r="P62" s="19"/>
      <c r="Q62" s="25"/>
      <c r="R62" s="116"/>
      <c r="S62" s="19"/>
      <c r="T62" s="25"/>
      <c r="U62" s="25"/>
      <c r="V62" s="10"/>
      <c r="W62" s="10"/>
      <c r="X62" s="10"/>
      <c r="Y62" s="10"/>
      <c r="Z62" s="10"/>
      <c r="AA62" s="10"/>
      <c r="AB62" s="10"/>
    </row>
    <row r="63" spans="1:28" s="2" customFormat="1">
      <c r="A63" s="10"/>
      <c r="B63" s="10"/>
      <c r="C63" s="10"/>
      <c r="D63" s="10"/>
      <c r="E63" s="10"/>
      <c r="F63" s="10"/>
      <c r="G63" s="10"/>
      <c r="H63" s="10"/>
      <c r="I63" s="10"/>
      <c r="J63" s="10"/>
      <c r="K63" s="10"/>
      <c r="L63" s="10"/>
      <c r="M63" s="17"/>
      <c r="N63" s="18"/>
      <c r="O63" s="18"/>
      <c r="P63" s="19"/>
      <c r="Q63" s="25"/>
      <c r="R63" s="116"/>
      <c r="S63" s="19"/>
      <c r="T63" s="25"/>
      <c r="U63" s="25"/>
      <c r="V63" s="10"/>
      <c r="W63" s="10"/>
      <c r="X63" s="10"/>
      <c r="Y63" s="10"/>
      <c r="Z63" s="10"/>
      <c r="AA63" s="10"/>
      <c r="AB63" s="10"/>
    </row>
    <row r="64" spans="1:28" s="2" customFormat="1">
      <c r="A64" s="10"/>
      <c r="B64" s="10"/>
      <c r="C64" s="10"/>
      <c r="D64" s="10"/>
      <c r="E64" s="10"/>
      <c r="F64" s="10"/>
      <c r="G64" s="10"/>
      <c r="H64" s="10"/>
      <c r="I64" s="10"/>
      <c r="J64" s="10"/>
      <c r="K64" s="10"/>
      <c r="L64" s="10"/>
      <c r="M64" s="17"/>
      <c r="N64" s="18"/>
      <c r="O64" s="18"/>
      <c r="P64" s="19"/>
      <c r="Q64" s="25"/>
      <c r="R64" s="116"/>
      <c r="S64" s="19"/>
      <c r="T64" s="25"/>
      <c r="U64" s="25"/>
      <c r="V64" s="10"/>
      <c r="W64" s="10"/>
      <c r="X64" s="10"/>
      <c r="Y64" s="10"/>
      <c r="Z64" s="10"/>
      <c r="AA64" s="10"/>
      <c r="AB64" s="10"/>
    </row>
    <row r="65" spans="1:28" s="2" customFormat="1">
      <c r="A65" s="10"/>
      <c r="B65" s="10"/>
      <c r="C65" s="10"/>
      <c r="D65" s="10"/>
      <c r="E65" s="10"/>
      <c r="F65" s="10"/>
      <c r="G65" s="10"/>
      <c r="H65" s="10"/>
      <c r="I65" s="10"/>
      <c r="J65" s="10"/>
      <c r="K65" s="10"/>
      <c r="L65" s="10"/>
      <c r="M65" s="17"/>
      <c r="N65" s="18"/>
      <c r="O65" s="18"/>
      <c r="P65" s="19"/>
      <c r="Q65" s="25"/>
      <c r="R65" s="116"/>
      <c r="S65" s="19"/>
      <c r="T65" s="25"/>
      <c r="U65" s="25"/>
      <c r="V65" s="10"/>
      <c r="W65" s="10"/>
      <c r="X65" s="10"/>
      <c r="Y65" s="10"/>
      <c r="Z65" s="10"/>
      <c r="AA65" s="10"/>
      <c r="AB65" s="10"/>
    </row>
    <row r="66" spans="1:28" s="2" customFormat="1">
      <c r="A66" s="10"/>
      <c r="B66" s="10"/>
      <c r="C66" s="10"/>
      <c r="D66" s="10"/>
      <c r="E66" s="10"/>
      <c r="F66" s="10"/>
      <c r="G66" s="10"/>
      <c r="H66" s="10"/>
      <c r="I66" s="10"/>
      <c r="J66" s="10"/>
      <c r="K66" s="10"/>
      <c r="L66" s="10"/>
      <c r="M66" s="17"/>
      <c r="N66" s="18"/>
      <c r="O66" s="18"/>
      <c r="P66" s="19"/>
      <c r="Q66" s="25"/>
      <c r="R66" s="116"/>
      <c r="S66" s="19"/>
      <c r="T66" s="25"/>
      <c r="U66" s="25"/>
      <c r="V66" s="10"/>
      <c r="W66" s="10"/>
      <c r="X66" s="10"/>
      <c r="Y66" s="10"/>
      <c r="Z66" s="10"/>
      <c r="AA66" s="10"/>
      <c r="AB66" s="10"/>
    </row>
    <row r="67" spans="1:28" s="2" customFormat="1">
      <c r="A67" s="10"/>
      <c r="B67" s="10"/>
      <c r="C67" s="10"/>
      <c r="D67" s="10"/>
      <c r="E67" s="10"/>
      <c r="F67" s="10"/>
      <c r="G67" s="10"/>
      <c r="H67" s="10"/>
      <c r="I67" s="10"/>
      <c r="J67" s="10"/>
      <c r="K67" s="10"/>
      <c r="L67" s="10"/>
      <c r="M67" s="17"/>
      <c r="N67" s="18"/>
      <c r="O67" s="18"/>
      <c r="P67" s="19"/>
      <c r="Q67" s="25"/>
      <c r="R67" s="116"/>
      <c r="S67" s="19"/>
      <c r="T67" s="25"/>
      <c r="U67" s="25"/>
      <c r="V67" s="10"/>
      <c r="W67" s="10"/>
      <c r="X67" s="10"/>
      <c r="Y67" s="10"/>
      <c r="Z67" s="10"/>
      <c r="AA67" s="10"/>
      <c r="AB67" s="10"/>
    </row>
    <row r="68" spans="1:28" s="2" customFormat="1">
      <c r="A68" s="10"/>
      <c r="B68" s="10"/>
      <c r="C68" s="10"/>
      <c r="D68" s="10"/>
      <c r="E68" s="10"/>
      <c r="F68" s="10"/>
      <c r="G68" s="10"/>
      <c r="H68" s="10"/>
      <c r="I68" s="10"/>
      <c r="J68" s="10"/>
      <c r="K68" s="10"/>
      <c r="L68" s="10"/>
      <c r="M68" s="17"/>
      <c r="N68" s="18"/>
      <c r="O68" s="18"/>
      <c r="P68" s="19"/>
      <c r="Q68" s="25"/>
      <c r="R68" s="116"/>
      <c r="S68" s="19"/>
      <c r="T68" s="25"/>
      <c r="U68" s="25"/>
      <c r="V68" s="10"/>
      <c r="W68" s="10"/>
      <c r="X68" s="10"/>
      <c r="Y68" s="10"/>
      <c r="Z68" s="10"/>
      <c r="AA68" s="10"/>
      <c r="AB68" s="10"/>
    </row>
    <row r="69" spans="1:28" s="2" customFormat="1">
      <c r="A69" s="10"/>
      <c r="B69" s="10"/>
      <c r="C69" s="10"/>
      <c r="D69" s="10"/>
      <c r="E69" s="10"/>
      <c r="F69" s="10"/>
      <c r="G69" s="10"/>
      <c r="H69" s="10"/>
      <c r="I69" s="10"/>
      <c r="J69" s="10"/>
      <c r="K69" s="10"/>
      <c r="L69" s="10"/>
      <c r="M69" s="17"/>
      <c r="N69" s="18"/>
      <c r="O69" s="18"/>
      <c r="P69" s="19"/>
      <c r="Q69" s="25"/>
      <c r="R69" s="116"/>
      <c r="S69" s="19"/>
      <c r="T69" s="25"/>
      <c r="U69" s="25"/>
      <c r="V69" s="10"/>
      <c r="W69" s="10"/>
      <c r="X69" s="10"/>
      <c r="Y69" s="10"/>
      <c r="Z69" s="10"/>
      <c r="AA69" s="10"/>
      <c r="AB69" s="10"/>
    </row>
    <row r="70" spans="1:28" s="1" customFormat="1" ht="154">
      <c r="A70" s="9">
        <v>4</v>
      </c>
      <c r="B70" s="9" t="str">
        <f>B48</f>
        <v>成都瑞隆祥科技有限公司</v>
      </c>
      <c r="C70" s="9" t="str">
        <f t="shared" ref="C70:G70" si="9">C48</f>
        <v>成都高新区市场监督管理局</v>
      </c>
      <c r="D70" s="9" t="str">
        <f t="shared" si="9"/>
        <v>91510100MA61T33473</v>
      </c>
      <c r="E70" s="9" t="str">
        <f t="shared" si="9"/>
        <v>有限责任公司(自然人投资或控股)</v>
      </c>
      <c r="F70" s="9" t="str">
        <f t="shared" si="9"/>
        <v>成都高新技术产业开发区税务局</v>
      </c>
      <c r="G70" s="9" t="str">
        <f t="shared" si="9"/>
        <v>4402243409100038006（开户行：中国工商银行股份有限公司成都金牛支行一品天下分理处）</v>
      </c>
      <c r="H70" s="9" t="s">
        <v>37</v>
      </c>
      <c r="I70" s="9" t="s">
        <v>209</v>
      </c>
      <c r="J70" s="9" t="s">
        <v>214</v>
      </c>
      <c r="K70" s="9">
        <v>80</v>
      </c>
      <c r="L70" s="9" t="s">
        <v>219</v>
      </c>
      <c r="M70" s="20" t="s">
        <v>220</v>
      </c>
      <c r="N70" s="16">
        <v>44859</v>
      </c>
      <c r="O70" s="16">
        <v>45039</v>
      </c>
      <c r="P70" s="9">
        <f>P77-N70</f>
        <v>180</v>
      </c>
      <c r="Q70" s="22">
        <f>SUM(Q71:Q91)</f>
        <v>1.69</v>
      </c>
      <c r="R70" s="146">
        <v>0.39</v>
      </c>
      <c r="S70" s="9"/>
      <c r="T70" s="9">
        <f>SUM(T71:T91)</f>
        <v>0.92</v>
      </c>
      <c r="U70" s="9">
        <v>3.65</v>
      </c>
      <c r="V70" s="16"/>
      <c r="W70" s="9" t="s">
        <v>42</v>
      </c>
      <c r="X70" s="31">
        <v>0.01</v>
      </c>
      <c r="Y70" s="9">
        <f>ROUNDUP(IF((O70-N70+1)*K70*X70/365&gt;R70,R70,(O70-N70+1)*K70*X70/365),2)</f>
        <v>0.39</v>
      </c>
      <c r="Z70" s="146">
        <f>R70-Y70</f>
        <v>0</v>
      </c>
      <c r="AA70" s="9" t="s">
        <v>43</v>
      </c>
      <c r="AB70" s="9" t="s">
        <v>61</v>
      </c>
    </row>
    <row r="71" spans="1:28" s="2" customFormat="1" ht="42">
      <c r="A71" s="10"/>
      <c r="B71" s="10"/>
      <c r="C71" s="10"/>
      <c r="D71" s="10"/>
      <c r="E71" s="10"/>
      <c r="F71" s="10"/>
      <c r="G71" s="10"/>
      <c r="H71" s="10"/>
      <c r="I71" s="10"/>
      <c r="J71" s="10"/>
      <c r="K71" s="10"/>
      <c r="L71" s="10"/>
      <c r="M71" s="32" t="s">
        <v>213</v>
      </c>
      <c r="N71" s="18"/>
      <c r="O71" s="18"/>
      <c r="P71" s="19">
        <v>44886</v>
      </c>
      <c r="Q71" s="25">
        <v>0.26</v>
      </c>
      <c r="R71" s="116"/>
      <c r="S71" s="19">
        <f>P71</f>
        <v>44886</v>
      </c>
      <c r="T71" s="25">
        <f>(S71-N70)/360*$U$48*$K$48</f>
        <v>0.14000000000000001</v>
      </c>
      <c r="U71" s="25">
        <f>T71-Q71</f>
        <v>-0.12</v>
      </c>
      <c r="V71" s="18"/>
      <c r="W71" s="10"/>
      <c r="X71" s="10"/>
      <c r="Y71" s="10"/>
      <c r="Z71" s="10"/>
      <c r="AA71" s="10"/>
      <c r="AB71" s="10"/>
    </row>
    <row r="72" spans="1:28" s="2" customFormat="1">
      <c r="A72" s="10"/>
      <c r="B72" s="10"/>
      <c r="C72" s="10"/>
      <c r="D72" s="10"/>
      <c r="E72" s="10"/>
      <c r="F72" s="10"/>
      <c r="G72" s="10"/>
      <c r="H72" s="10"/>
      <c r="I72" s="10"/>
      <c r="J72" s="10"/>
      <c r="K72" s="10"/>
      <c r="L72" s="10"/>
      <c r="M72" s="17"/>
      <c r="N72" s="18"/>
      <c r="O72" s="18"/>
      <c r="P72" s="19">
        <v>44916</v>
      </c>
      <c r="Q72" s="25">
        <v>0.28000000000000003</v>
      </c>
      <c r="R72" s="116"/>
      <c r="S72" s="19">
        <f t="shared" ref="S72:S77" si="10">P72</f>
        <v>44916</v>
      </c>
      <c r="T72" s="25">
        <f>(S72-S71)*$U$48*$K$48/360</f>
        <v>0.15</v>
      </c>
      <c r="U72" s="25">
        <f t="shared" ref="U72:U77" si="11">T72-Q72</f>
        <v>-0.13</v>
      </c>
      <c r="V72" s="10"/>
      <c r="W72" s="10"/>
      <c r="X72" s="10"/>
      <c r="Y72" s="10"/>
      <c r="Z72" s="10"/>
      <c r="AA72" s="10"/>
      <c r="AB72" s="10"/>
    </row>
    <row r="73" spans="1:28" s="2" customFormat="1">
      <c r="A73" s="10"/>
      <c r="B73" s="10"/>
      <c r="C73" s="10"/>
      <c r="D73" s="10"/>
      <c r="E73" s="10"/>
      <c r="F73" s="10"/>
      <c r="G73" s="10"/>
      <c r="H73" s="10"/>
      <c r="I73" s="10"/>
      <c r="J73" s="10"/>
      <c r="K73" s="10"/>
      <c r="L73" s="10"/>
      <c r="M73" s="17"/>
      <c r="N73" s="18"/>
      <c r="O73" s="18"/>
      <c r="P73" s="19">
        <v>44947</v>
      </c>
      <c r="Q73" s="25">
        <v>0.28999999999999998</v>
      </c>
      <c r="R73" s="116"/>
      <c r="S73" s="19">
        <f t="shared" si="10"/>
        <v>44947</v>
      </c>
      <c r="T73" s="25">
        <f t="shared" ref="T73:T77" si="12">(S73-S72)*$U$48*$K$48/360</f>
        <v>0.16</v>
      </c>
      <c r="U73" s="25">
        <f t="shared" si="11"/>
        <v>-0.13</v>
      </c>
      <c r="V73" s="10"/>
      <c r="W73" s="10"/>
      <c r="X73" s="10"/>
      <c r="Y73" s="10"/>
      <c r="Z73" s="10"/>
      <c r="AA73" s="10"/>
      <c r="AB73" s="10"/>
    </row>
    <row r="74" spans="1:28" s="2" customFormat="1">
      <c r="A74" s="10"/>
      <c r="B74" s="10"/>
      <c r="C74" s="10"/>
      <c r="D74" s="10"/>
      <c r="E74" s="10"/>
      <c r="F74" s="10"/>
      <c r="G74" s="10"/>
      <c r="H74" s="10"/>
      <c r="I74" s="10"/>
      <c r="J74" s="10"/>
      <c r="K74" s="10"/>
      <c r="L74" s="10"/>
      <c r="M74" s="17"/>
      <c r="N74" s="18"/>
      <c r="O74" s="18"/>
      <c r="P74" s="19">
        <v>44978</v>
      </c>
      <c r="Q74" s="25">
        <v>0.28999999999999998</v>
      </c>
      <c r="R74" s="116"/>
      <c r="S74" s="19">
        <f t="shared" si="10"/>
        <v>44978</v>
      </c>
      <c r="T74" s="25">
        <f t="shared" si="12"/>
        <v>0.16</v>
      </c>
      <c r="U74" s="25">
        <f t="shared" si="11"/>
        <v>-0.13</v>
      </c>
      <c r="V74" s="10"/>
      <c r="W74" s="10"/>
      <c r="X74" s="10"/>
      <c r="Y74" s="10"/>
      <c r="Z74" s="10"/>
      <c r="AA74" s="10"/>
      <c r="AB74" s="10"/>
    </row>
    <row r="75" spans="1:28" s="2" customFormat="1">
      <c r="A75" s="10"/>
      <c r="B75" s="10"/>
      <c r="C75" s="10"/>
      <c r="D75" s="10"/>
      <c r="E75" s="10"/>
      <c r="F75" s="10"/>
      <c r="G75" s="10"/>
      <c r="H75" s="10"/>
      <c r="I75" s="10"/>
      <c r="J75" s="10"/>
      <c r="K75" s="10"/>
      <c r="L75" s="10"/>
      <c r="M75" s="17"/>
      <c r="N75" s="18"/>
      <c r="O75" s="18"/>
      <c r="P75" s="19">
        <v>45006</v>
      </c>
      <c r="Q75" s="25">
        <v>0.26</v>
      </c>
      <c r="R75" s="116"/>
      <c r="S75" s="19">
        <f t="shared" si="10"/>
        <v>45006</v>
      </c>
      <c r="T75" s="25">
        <f t="shared" si="12"/>
        <v>0.14000000000000001</v>
      </c>
      <c r="U75" s="25">
        <f t="shared" si="11"/>
        <v>-0.12</v>
      </c>
      <c r="V75" s="10"/>
      <c r="W75" s="10"/>
      <c r="X75" s="10"/>
      <c r="Y75" s="10"/>
      <c r="Z75" s="10"/>
      <c r="AA75" s="10"/>
      <c r="AB75" s="10"/>
    </row>
    <row r="76" spans="1:28" s="2" customFormat="1">
      <c r="A76" s="10"/>
      <c r="B76" s="10"/>
      <c r="C76" s="10"/>
      <c r="D76" s="10"/>
      <c r="E76" s="10"/>
      <c r="F76" s="10"/>
      <c r="G76" s="10"/>
      <c r="H76" s="10"/>
      <c r="I76" s="10"/>
      <c r="J76" s="10"/>
      <c r="K76" s="10"/>
      <c r="L76" s="10"/>
      <c r="M76" s="17"/>
      <c r="N76" s="18"/>
      <c r="O76" s="18"/>
      <c r="P76" s="19">
        <v>45037</v>
      </c>
      <c r="Q76" s="25">
        <v>0.28999999999999998</v>
      </c>
      <c r="R76" s="116"/>
      <c r="S76" s="19">
        <f t="shared" si="10"/>
        <v>45037</v>
      </c>
      <c r="T76" s="25">
        <f t="shared" si="12"/>
        <v>0.16</v>
      </c>
      <c r="U76" s="25">
        <f t="shared" si="11"/>
        <v>-0.13</v>
      </c>
      <c r="V76" s="10"/>
      <c r="W76" s="10"/>
      <c r="X76" s="10"/>
      <c r="Y76" s="10"/>
      <c r="Z76" s="10"/>
      <c r="AA76" s="10"/>
      <c r="AB76" s="10"/>
    </row>
    <row r="77" spans="1:28" s="2" customFormat="1">
      <c r="A77" s="10"/>
      <c r="B77" s="10"/>
      <c r="C77" s="10"/>
      <c r="D77" s="10"/>
      <c r="E77" s="10"/>
      <c r="F77" s="10"/>
      <c r="G77" s="10"/>
      <c r="H77" s="10"/>
      <c r="I77" s="10"/>
      <c r="J77" s="10"/>
      <c r="K77" s="10"/>
      <c r="L77" s="10"/>
      <c r="M77" s="17"/>
      <c r="N77" s="18"/>
      <c r="O77" s="18"/>
      <c r="P77" s="19">
        <v>45039</v>
      </c>
      <c r="Q77" s="25">
        <v>0.02</v>
      </c>
      <c r="R77" s="116"/>
      <c r="S77" s="19">
        <f t="shared" si="10"/>
        <v>45039</v>
      </c>
      <c r="T77" s="25">
        <f t="shared" si="12"/>
        <v>0.01</v>
      </c>
      <c r="U77" s="25">
        <f t="shared" si="11"/>
        <v>-0.01</v>
      </c>
      <c r="V77" s="10"/>
      <c r="W77" s="10"/>
      <c r="X77" s="10"/>
      <c r="Y77" s="10"/>
      <c r="Z77" s="10"/>
      <c r="AA77" s="10"/>
      <c r="AB77" s="10"/>
    </row>
    <row r="78" spans="1:28" s="2" customFormat="1">
      <c r="A78" s="10"/>
      <c r="B78" s="10"/>
      <c r="C78" s="10"/>
      <c r="D78" s="10"/>
      <c r="E78" s="10"/>
      <c r="F78" s="10"/>
      <c r="G78" s="10"/>
      <c r="H78" s="10"/>
      <c r="I78" s="10"/>
      <c r="J78" s="10"/>
      <c r="K78" s="10"/>
      <c r="L78" s="10"/>
      <c r="M78" s="17"/>
      <c r="N78" s="18"/>
      <c r="O78" s="18"/>
      <c r="P78" s="19"/>
      <c r="Q78" s="25"/>
      <c r="R78" s="116"/>
      <c r="S78" s="19"/>
      <c r="T78" s="25"/>
      <c r="U78" s="25"/>
      <c r="V78" s="10"/>
      <c r="W78" s="10"/>
      <c r="X78" s="10"/>
      <c r="Y78" s="10"/>
      <c r="Z78" s="10"/>
      <c r="AA78" s="10"/>
      <c r="AB78" s="10"/>
    </row>
    <row r="79" spans="1:28" s="2" customFormat="1">
      <c r="A79" s="10"/>
      <c r="B79" s="10"/>
      <c r="C79" s="10"/>
      <c r="D79" s="10"/>
      <c r="E79" s="10"/>
      <c r="F79" s="10"/>
      <c r="G79" s="10"/>
      <c r="H79" s="10"/>
      <c r="I79" s="10"/>
      <c r="J79" s="10"/>
      <c r="K79" s="10"/>
      <c r="L79" s="10"/>
      <c r="M79" s="17"/>
      <c r="N79" s="18"/>
      <c r="O79" s="18"/>
      <c r="P79" s="19"/>
      <c r="Q79" s="25"/>
      <c r="R79" s="116"/>
      <c r="S79" s="19"/>
      <c r="T79" s="25"/>
      <c r="U79" s="25"/>
      <c r="V79" s="10"/>
      <c r="W79" s="10"/>
      <c r="X79" s="10"/>
      <c r="Y79" s="10"/>
      <c r="Z79" s="10"/>
      <c r="AA79" s="10"/>
      <c r="AB79" s="10"/>
    </row>
    <row r="80" spans="1:28" s="2" customFormat="1">
      <c r="A80" s="10"/>
      <c r="B80" s="10"/>
      <c r="C80" s="10"/>
      <c r="D80" s="10"/>
      <c r="E80" s="10"/>
      <c r="F80" s="10"/>
      <c r="G80" s="10"/>
      <c r="H80" s="10"/>
      <c r="I80" s="10"/>
      <c r="J80" s="10"/>
      <c r="K80" s="10"/>
      <c r="L80" s="10"/>
      <c r="M80" s="17"/>
      <c r="N80" s="18"/>
      <c r="O80" s="18"/>
      <c r="P80" s="19"/>
      <c r="Q80" s="25"/>
      <c r="R80" s="116"/>
      <c r="S80" s="19"/>
      <c r="T80" s="25"/>
      <c r="U80" s="25"/>
      <c r="V80" s="10"/>
      <c r="W80" s="10"/>
      <c r="X80" s="10"/>
      <c r="Y80" s="10"/>
      <c r="Z80" s="10"/>
      <c r="AA80" s="10"/>
      <c r="AB80" s="10"/>
    </row>
    <row r="81" spans="1:28" s="2" customFormat="1">
      <c r="A81" s="10"/>
      <c r="B81" s="10"/>
      <c r="C81" s="10"/>
      <c r="D81" s="10"/>
      <c r="E81" s="10"/>
      <c r="F81" s="10"/>
      <c r="G81" s="10"/>
      <c r="H81" s="10"/>
      <c r="I81" s="10"/>
      <c r="J81" s="10"/>
      <c r="K81" s="10"/>
      <c r="L81" s="10"/>
      <c r="M81" s="17"/>
      <c r="N81" s="18"/>
      <c r="O81" s="18"/>
      <c r="P81" s="19"/>
      <c r="Q81" s="25"/>
      <c r="R81" s="116"/>
      <c r="S81" s="19"/>
      <c r="T81" s="25"/>
      <c r="U81" s="25"/>
      <c r="V81" s="10"/>
      <c r="W81" s="10"/>
      <c r="X81" s="10"/>
      <c r="Y81" s="10"/>
      <c r="Z81" s="10"/>
      <c r="AA81" s="10"/>
      <c r="AB81" s="10"/>
    </row>
    <row r="82" spans="1:28" s="2" customFormat="1">
      <c r="A82" s="10"/>
      <c r="B82" s="10"/>
      <c r="C82" s="10"/>
      <c r="D82" s="10"/>
      <c r="E82" s="10"/>
      <c r="F82" s="10"/>
      <c r="G82" s="10"/>
      <c r="H82" s="10"/>
      <c r="I82" s="10"/>
      <c r="J82" s="10"/>
      <c r="K82" s="10"/>
      <c r="L82" s="10"/>
      <c r="M82" s="17"/>
      <c r="N82" s="18"/>
      <c r="O82" s="18"/>
      <c r="P82" s="19"/>
      <c r="Q82" s="25"/>
      <c r="R82" s="116"/>
      <c r="S82" s="19"/>
      <c r="T82" s="25"/>
      <c r="U82" s="25"/>
      <c r="V82" s="10"/>
      <c r="W82" s="10"/>
      <c r="X82" s="10"/>
      <c r="Y82" s="10"/>
      <c r="Z82" s="10"/>
      <c r="AA82" s="10"/>
      <c r="AB82" s="10"/>
    </row>
    <row r="83" spans="1:28" s="2" customFormat="1">
      <c r="A83" s="10"/>
      <c r="B83" s="10"/>
      <c r="C83" s="10"/>
      <c r="D83" s="10"/>
      <c r="E83" s="10"/>
      <c r="F83" s="10"/>
      <c r="G83" s="10"/>
      <c r="H83" s="10"/>
      <c r="I83" s="10"/>
      <c r="J83" s="10"/>
      <c r="K83" s="10"/>
      <c r="L83" s="10"/>
      <c r="M83" s="17"/>
      <c r="N83" s="18"/>
      <c r="O83" s="18"/>
      <c r="P83" s="19"/>
      <c r="Q83" s="25"/>
      <c r="R83" s="116"/>
      <c r="S83" s="19"/>
      <c r="T83" s="25"/>
      <c r="U83" s="25"/>
      <c r="V83" s="10"/>
      <c r="W83" s="10"/>
      <c r="X83" s="10"/>
      <c r="Y83" s="10"/>
      <c r="Z83" s="10"/>
      <c r="AA83" s="10"/>
      <c r="AB83" s="10"/>
    </row>
    <row r="84" spans="1:28" s="2" customFormat="1">
      <c r="A84" s="10"/>
      <c r="B84" s="10"/>
      <c r="C84" s="10"/>
      <c r="D84" s="10"/>
      <c r="E84" s="10"/>
      <c r="F84" s="10"/>
      <c r="G84" s="10"/>
      <c r="H84" s="10"/>
      <c r="I84" s="10"/>
      <c r="J84" s="10"/>
      <c r="K84" s="10"/>
      <c r="L84" s="10"/>
      <c r="M84" s="17"/>
      <c r="N84" s="18"/>
      <c r="O84" s="18"/>
      <c r="P84" s="19"/>
      <c r="Q84" s="25"/>
      <c r="R84" s="116"/>
      <c r="S84" s="19"/>
      <c r="T84" s="25"/>
      <c r="U84" s="25"/>
      <c r="V84" s="10"/>
      <c r="W84" s="10"/>
      <c r="X84" s="10"/>
      <c r="Y84" s="10"/>
      <c r="Z84" s="10"/>
      <c r="AA84" s="10"/>
      <c r="AB84" s="10"/>
    </row>
    <row r="85" spans="1:28" s="2" customFormat="1">
      <c r="A85" s="10"/>
      <c r="B85" s="10"/>
      <c r="C85" s="10"/>
      <c r="D85" s="10"/>
      <c r="E85" s="10"/>
      <c r="F85" s="10"/>
      <c r="G85" s="10"/>
      <c r="H85" s="10"/>
      <c r="I85" s="10"/>
      <c r="J85" s="10"/>
      <c r="K85" s="10"/>
      <c r="L85" s="10"/>
      <c r="M85" s="17"/>
      <c r="N85" s="18"/>
      <c r="O85" s="18"/>
      <c r="P85" s="19"/>
      <c r="Q85" s="25"/>
      <c r="R85" s="116"/>
      <c r="S85" s="19"/>
      <c r="T85" s="25"/>
      <c r="U85" s="25"/>
      <c r="V85" s="10"/>
      <c r="W85" s="10"/>
      <c r="X85" s="10"/>
      <c r="Y85" s="10"/>
      <c r="Z85" s="10"/>
      <c r="AA85" s="10"/>
      <c r="AB85" s="10"/>
    </row>
    <row r="86" spans="1:28" s="2" customFormat="1">
      <c r="A86" s="10"/>
      <c r="B86" s="10"/>
      <c r="C86" s="10"/>
      <c r="D86" s="10"/>
      <c r="E86" s="10"/>
      <c r="F86" s="10"/>
      <c r="G86" s="10"/>
      <c r="H86" s="10"/>
      <c r="I86" s="10"/>
      <c r="J86" s="10"/>
      <c r="K86" s="10"/>
      <c r="L86" s="10"/>
      <c r="M86" s="17"/>
      <c r="N86" s="18"/>
      <c r="O86" s="18"/>
      <c r="P86" s="19"/>
      <c r="Q86" s="25"/>
      <c r="R86" s="116"/>
      <c r="S86" s="19"/>
      <c r="T86" s="25"/>
      <c r="U86" s="25"/>
      <c r="V86" s="10"/>
      <c r="W86" s="10"/>
      <c r="X86" s="10"/>
      <c r="Y86" s="10"/>
      <c r="Z86" s="10"/>
      <c r="AA86" s="10"/>
      <c r="AB86" s="10"/>
    </row>
    <row r="87" spans="1:28" s="2" customFormat="1">
      <c r="A87" s="10"/>
      <c r="B87" s="10"/>
      <c r="C87" s="10"/>
      <c r="D87" s="10"/>
      <c r="E87" s="10"/>
      <c r="F87" s="10"/>
      <c r="G87" s="10"/>
      <c r="H87" s="10"/>
      <c r="I87" s="10"/>
      <c r="J87" s="10"/>
      <c r="K87" s="10"/>
      <c r="L87" s="10"/>
      <c r="M87" s="17"/>
      <c r="N87" s="18"/>
      <c r="O87" s="18"/>
      <c r="P87" s="19"/>
      <c r="Q87" s="25"/>
      <c r="R87" s="116"/>
      <c r="S87" s="19"/>
      <c r="T87" s="25"/>
      <c r="U87" s="25"/>
      <c r="V87" s="10"/>
      <c r="W87" s="10"/>
      <c r="X87" s="10"/>
      <c r="Y87" s="10"/>
      <c r="Z87" s="10"/>
      <c r="AA87" s="10"/>
      <c r="AB87" s="10"/>
    </row>
    <row r="88" spans="1:28" s="2" customFormat="1">
      <c r="A88" s="10"/>
      <c r="B88" s="10"/>
      <c r="C88" s="10"/>
      <c r="D88" s="10"/>
      <c r="E88" s="10"/>
      <c r="F88" s="10"/>
      <c r="G88" s="10"/>
      <c r="H88" s="10"/>
      <c r="I88" s="10"/>
      <c r="J88" s="10"/>
      <c r="K88" s="10"/>
      <c r="L88" s="10"/>
      <c r="M88" s="17"/>
      <c r="N88" s="18"/>
      <c r="O88" s="18"/>
      <c r="P88" s="19"/>
      <c r="Q88" s="25"/>
      <c r="R88" s="116"/>
      <c r="S88" s="19"/>
      <c r="T88" s="25"/>
      <c r="U88" s="25"/>
      <c r="V88" s="10"/>
      <c r="W88" s="10"/>
      <c r="X88" s="10"/>
      <c r="Y88" s="10"/>
      <c r="Z88" s="10"/>
      <c r="AA88" s="10"/>
      <c r="AB88" s="10"/>
    </row>
    <row r="89" spans="1:28" s="2" customFormat="1">
      <c r="A89" s="10"/>
      <c r="B89" s="10"/>
      <c r="C89" s="10"/>
      <c r="D89" s="10"/>
      <c r="E89" s="10"/>
      <c r="F89" s="10"/>
      <c r="G89" s="10"/>
      <c r="H89" s="10"/>
      <c r="I89" s="10"/>
      <c r="J89" s="10"/>
      <c r="K89" s="10"/>
      <c r="L89" s="10"/>
      <c r="M89" s="17"/>
      <c r="N89" s="18"/>
      <c r="O89" s="18"/>
      <c r="P89" s="19"/>
      <c r="Q89" s="25"/>
      <c r="R89" s="116"/>
      <c r="S89" s="19"/>
      <c r="T89" s="25"/>
      <c r="U89" s="25"/>
      <c r="V89" s="10"/>
      <c r="W89" s="10"/>
      <c r="X89" s="10"/>
      <c r="Y89" s="10"/>
      <c r="Z89" s="10"/>
      <c r="AA89" s="10"/>
      <c r="AB89" s="10"/>
    </row>
    <row r="90" spans="1:28" s="2" customFormat="1">
      <c r="A90" s="10"/>
      <c r="B90" s="10"/>
      <c r="C90" s="10"/>
      <c r="D90" s="10"/>
      <c r="E90" s="10"/>
      <c r="F90" s="10"/>
      <c r="G90" s="10"/>
      <c r="H90" s="10"/>
      <c r="I90" s="10"/>
      <c r="J90" s="10"/>
      <c r="K90" s="10"/>
      <c r="L90" s="10"/>
      <c r="M90" s="17"/>
      <c r="N90" s="18"/>
      <c r="O90" s="18"/>
      <c r="P90" s="19"/>
      <c r="Q90" s="25"/>
      <c r="R90" s="116"/>
      <c r="S90" s="19"/>
      <c r="T90" s="25"/>
      <c r="U90" s="25"/>
      <c r="V90" s="10"/>
      <c r="W90" s="10"/>
      <c r="X90" s="10"/>
      <c r="Y90" s="10"/>
      <c r="Z90" s="10"/>
      <c r="AA90" s="10"/>
      <c r="AB90" s="10"/>
    </row>
    <row r="91" spans="1:28" s="2" customFormat="1">
      <c r="A91" s="10"/>
      <c r="B91" s="10"/>
      <c r="C91" s="10"/>
      <c r="D91" s="10"/>
      <c r="E91" s="10"/>
      <c r="F91" s="10"/>
      <c r="G91" s="10"/>
      <c r="H91" s="10"/>
      <c r="I91" s="10"/>
      <c r="J91" s="10"/>
      <c r="K91" s="10"/>
      <c r="L91" s="10"/>
      <c r="M91" s="17"/>
      <c r="N91" s="18"/>
      <c r="O91" s="18"/>
      <c r="P91" s="19"/>
      <c r="Q91" s="25"/>
      <c r="R91" s="116"/>
      <c r="S91" s="19"/>
      <c r="T91" s="25"/>
      <c r="U91" s="25"/>
      <c r="V91" s="10"/>
      <c r="W91" s="10"/>
      <c r="X91" s="10"/>
      <c r="Y91" s="10"/>
      <c r="Z91" s="10"/>
      <c r="AA91" s="10"/>
      <c r="AB91" s="10"/>
    </row>
    <row r="92" spans="1:28" s="1" customFormat="1" ht="154">
      <c r="A92" s="9">
        <v>5</v>
      </c>
      <c r="B92" s="9" t="str">
        <f>B70</f>
        <v>成都瑞隆祥科技有限公司</v>
      </c>
      <c r="C92" s="9" t="str">
        <f t="shared" ref="C92:G92" si="13">C70</f>
        <v>成都高新区市场监督管理局</v>
      </c>
      <c r="D92" s="9" t="str">
        <f t="shared" si="13"/>
        <v>91510100MA61T33473</v>
      </c>
      <c r="E92" s="9" t="str">
        <f t="shared" si="13"/>
        <v>有限责任公司(自然人投资或控股)</v>
      </c>
      <c r="F92" s="9" t="str">
        <f t="shared" si="13"/>
        <v>成都高新技术产业开发区税务局</v>
      </c>
      <c r="G92" s="9" t="str">
        <f t="shared" si="13"/>
        <v>4402243409100038006（开户行：中国工商银行股份有限公司成都金牛支行一品天下分理处）</v>
      </c>
      <c r="H92" s="9" t="s">
        <v>37</v>
      </c>
      <c r="I92" s="9" t="s">
        <v>209</v>
      </c>
      <c r="J92" s="9" t="s">
        <v>214</v>
      </c>
      <c r="K92" s="9">
        <v>70</v>
      </c>
      <c r="L92" s="9" t="s">
        <v>221</v>
      </c>
      <c r="M92" s="20" t="s">
        <v>222</v>
      </c>
      <c r="N92" s="16">
        <v>44865</v>
      </c>
      <c r="O92" s="16">
        <v>45045</v>
      </c>
      <c r="P92" s="9">
        <f>P99-N92</f>
        <v>180</v>
      </c>
      <c r="Q92" s="22">
        <f>SUM(Q93:Q113)</f>
        <v>1.5</v>
      </c>
      <c r="R92" s="146">
        <v>0.35</v>
      </c>
      <c r="S92" s="9"/>
      <c r="T92" s="9">
        <f>SUM(T93:T113)</f>
        <v>0.92</v>
      </c>
      <c r="U92" s="9">
        <v>3.65</v>
      </c>
      <c r="V92" s="16"/>
      <c r="W92" s="9" t="s">
        <v>42</v>
      </c>
      <c r="X92" s="31">
        <v>0.01</v>
      </c>
      <c r="Y92" s="9">
        <f>ROUNDDOWN(IF((O92-N92+1)*K92*X92/365&gt;R92,R92,(O92-N92+1)*K92*X92/365),2)</f>
        <v>0.34</v>
      </c>
      <c r="Z92" s="146">
        <f>R92-Y92</f>
        <v>0.01</v>
      </c>
      <c r="AA92" s="9"/>
      <c r="AB92" s="9" t="s">
        <v>61</v>
      </c>
    </row>
    <row r="93" spans="1:28" s="2" customFormat="1" ht="42">
      <c r="A93" s="10"/>
      <c r="B93" s="10"/>
      <c r="C93" s="10"/>
      <c r="D93" s="10"/>
      <c r="E93" s="10"/>
      <c r="F93" s="10"/>
      <c r="G93" s="10"/>
      <c r="H93" s="10"/>
      <c r="I93" s="10"/>
      <c r="J93" s="10"/>
      <c r="K93" s="10"/>
      <c r="L93" s="10"/>
      <c r="M93" s="32" t="s">
        <v>213</v>
      </c>
      <c r="N93" s="18"/>
      <c r="O93" s="18"/>
      <c r="P93" s="19">
        <v>44886</v>
      </c>
      <c r="Q93" s="25">
        <v>0.17</v>
      </c>
      <c r="R93" s="116"/>
      <c r="S93" s="19">
        <f>P93</f>
        <v>44886</v>
      </c>
      <c r="T93" s="25">
        <f>(S93-N92)/360*$U$48*$K$48</f>
        <v>0.11</v>
      </c>
      <c r="U93" s="25">
        <f>T93-Q93</f>
        <v>-0.06</v>
      </c>
      <c r="V93" s="18"/>
      <c r="W93" s="10"/>
      <c r="X93" s="10"/>
      <c r="Y93" s="10"/>
      <c r="Z93" s="10"/>
      <c r="AA93" s="10"/>
      <c r="AB93" s="10"/>
    </row>
    <row r="94" spans="1:28" s="2" customFormat="1">
      <c r="A94" s="10"/>
      <c r="B94" s="10"/>
      <c r="C94" s="10"/>
      <c r="D94" s="10"/>
      <c r="E94" s="10"/>
      <c r="F94" s="10"/>
      <c r="G94" s="10"/>
      <c r="H94" s="10"/>
      <c r="I94" s="10"/>
      <c r="J94" s="10"/>
      <c r="K94" s="10"/>
      <c r="L94" s="10"/>
      <c r="M94" s="17"/>
      <c r="N94" s="18"/>
      <c r="O94" s="18"/>
      <c r="P94" s="19">
        <v>44916</v>
      </c>
      <c r="Q94" s="25">
        <v>0.25</v>
      </c>
      <c r="R94" s="116"/>
      <c r="S94" s="19">
        <f t="shared" ref="S94:S99" si="14">P94</f>
        <v>44916</v>
      </c>
      <c r="T94" s="25">
        <f>(S94-S93)*$U$48*$K$48/360</f>
        <v>0.15</v>
      </c>
      <c r="U94" s="25">
        <f t="shared" ref="U94:U99" si="15">T94-Q94</f>
        <v>-0.1</v>
      </c>
      <c r="V94" s="10"/>
      <c r="W94" s="10"/>
      <c r="X94" s="10"/>
      <c r="Y94" s="10"/>
      <c r="Z94" s="10"/>
      <c r="AA94" s="10"/>
      <c r="AB94" s="10"/>
    </row>
    <row r="95" spans="1:28" s="2" customFormat="1">
      <c r="A95" s="10"/>
      <c r="B95" s="10"/>
      <c r="C95" s="10"/>
      <c r="D95" s="10"/>
      <c r="E95" s="10"/>
      <c r="F95" s="10"/>
      <c r="G95" s="10"/>
      <c r="H95" s="10"/>
      <c r="I95" s="10"/>
      <c r="J95" s="10"/>
      <c r="K95" s="10"/>
      <c r="L95" s="10"/>
      <c r="M95" s="17"/>
      <c r="N95" s="18"/>
      <c r="O95" s="18"/>
      <c r="P95" s="19">
        <v>44947</v>
      </c>
      <c r="Q95" s="25">
        <v>0.26</v>
      </c>
      <c r="R95" s="116"/>
      <c r="S95" s="19">
        <f t="shared" si="14"/>
        <v>44947</v>
      </c>
      <c r="T95" s="25">
        <f t="shared" ref="T95:T99" si="16">(S95-S94)*$U$48*$K$48/360</f>
        <v>0.16</v>
      </c>
      <c r="U95" s="25">
        <f t="shared" si="15"/>
        <v>-0.1</v>
      </c>
      <c r="V95" s="10"/>
      <c r="W95" s="10"/>
      <c r="X95" s="10"/>
      <c r="Y95" s="10"/>
      <c r="Z95" s="10"/>
      <c r="AA95" s="10"/>
      <c r="AB95" s="10"/>
    </row>
    <row r="96" spans="1:28" s="2" customFormat="1">
      <c r="A96" s="10"/>
      <c r="B96" s="10"/>
      <c r="C96" s="10"/>
      <c r="D96" s="10"/>
      <c r="E96" s="10"/>
      <c r="F96" s="10"/>
      <c r="G96" s="10"/>
      <c r="H96" s="10"/>
      <c r="I96" s="10"/>
      <c r="J96" s="10"/>
      <c r="K96" s="10"/>
      <c r="L96" s="10"/>
      <c r="M96" s="17"/>
      <c r="N96" s="18"/>
      <c r="O96" s="18"/>
      <c r="P96" s="19">
        <v>44978</v>
      </c>
      <c r="Q96" s="25">
        <v>0.26</v>
      </c>
      <c r="R96" s="116"/>
      <c r="S96" s="19">
        <f t="shared" si="14"/>
        <v>44978</v>
      </c>
      <c r="T96" s="25">
        <f t="shared" si="16"/>
        <v>0.16</v>
      </c>
      <c r="U96" s="25">
        <f t="shared" si="15"/>
        <v>-0.1</v>
      </c>
      <c r="V96" s="10"/>
      <c r="W96" s="10"/>
      <c r="X96" s="10"/>
      <c r="Y96" s="10"/>
      <c r="Z96" s="10"/>
      <c r="AA96" s="10"/>
      <c r="AB96" s="10"/>
    </row>
    <row r="97" spans="1:28" s="2" customFormat="1">
      <c r="A97" s="10"/>
      <c r="B97" s="10"/>
      <c r="C97" s="10"/>
      <c r="D97" s="10"/>
      <c r="E97" s="10"/>
      <c r="F97" s="10"/>
      <c r="G97" s="10"/>
      <c r="H97" s="10"/>
      <c r="I97" s="10"/>
      <c r="J97" s="10"/>
      <c r="K97" s="10"/>
      <c r="L97" s="10"/>
      <c r="M97" s="17"/>
      <c r="N97" s="18"/>
      <c r="O97" s="18"/>
      <c r="P97" s="19">
        <v>45006</v>
      </c>
      <c r="Q97" s="25">
        <v>0.23</v>
      </c>
      <c r="R97" s="116"/>
      <c r="S97" s="19">
        <f t="shared" si="14"/>
        <v>45006</v>
      </c>
      <c r="T97" s="25">
        <f t="shared" si="16"/>
        <v>0.14000000000000001</v>
      </c>
      <c r="U97" s="25">
        <f t="shared" si="15"/>
        <v>-0.09</v>
      </c>
      <c r="V97" s="10"/>
      <c r="W97" s="10"/>
      <c r="X97" s="10"/>
      <c r="Y97" s="10"/>
      <c r="Z97" s="10"/>
      <c r="AA97" s="10"/>
      <c r="AB97" s="10"/>
    </row>
    <row r="98" spans="1:28" s="2" customFormat="1">
      <c r="A98" s="10"/>
      <c r="B98" s="10"/>
      <c r="C98" s="10"/>
      <c r="D98" s="10"/>
      <c r="E98" s="10"/>
      <c r="F98" s="10"/>
      <c r="G98" s="10"/>
      <c r="H98" s="10"/>
      <c r="I98" s="10"/>
      <c r="J98" s="10"/>
      <c r="K98" s="10"/>
      <c r="L98" s="10"/>
      <c r="M98" s="17"/>
      <c r="N98" s="18"/>
      <c r="O98" s="18"/>
      <c r="P98" s="19">
        <v>45037</v>
      </c>
      <c r="Q98" s="25">
        <v>0.26</v>
      </c>
      <c r="R98" s="116"/>
      <c r="S98" s="19">
        <f t="shared" si="14"/>
        <v>45037</v>
      </c>
      <c r="T98" s="25">
        <f t="shared" si="16"/>
        <v>0.16</v>
      </c>
      <c r="U98" s="25">
        <f t="shared" si="15"/>
        <v>-0.1</v>
      </c>
      <c r="V98" s="10"/>
      <c r="W98" s="10"/>
      <c r="X98" s="10"/>
      <c r="Y98" s="10"/>
      <c r="Z98" s="10"/>
      <c r="AA98" s="10"/>
      <c r="AB98" s="10"/>
    </row>
    <row r="99" spans="1:28" s="2" customFormat="1">
      <c r="A99" s="10"/>
      <c r="B99" s="10"/>
      <c r="C99" s="10"/>
      <c r="D99" s="10"/>
      <c r="E99" s="10"/>
      <c r="F99" s="10"/>
      <c r="G99" s="10"/>
      <c r="H99" s="10"/>
      <c r="I99" s="10"/>
      <c r="J99" s="10"/>
      <c r="K99" s="10"/>
      <c r="L99" s="10"/>
      <c r="M99" s="17"/>
      <c r="N99" s="18"/>
      <c r="O99" s="18"/>
      <c r="P99" s="19">
        <v>45045</v>
      </c>
      <c r="Q99" s="25">
        <v>7.0000000000000007E-2</v>
      </c>
      <c r="R99" s="116"/>
      <c r="S99" s="19">
        <f t="shared" si="14"/>
        <v>45045</v>
      </c>
      <c r="T99" s="25">
        <f t="shared" si="16"/>
        <v>0.04</v>
      </c>
      <c r="U99" s="25">
        <f t="shared" si="15"/>
        <v>-0.03</v>
      </c>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16"/>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16"/>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16"/>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16"/>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16"/>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16"/>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16"/>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16"/>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16"/>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16"/>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16"/>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16"/>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16"/>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16"/>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600</v>
      </c>
      <c r="L114" s="9"/>
      <c r="M114" s="20"/>
      <c r="N114" s="16"/>
      <c r="O114" s="16"/>
      <c r="P114" s="9"/>
      <c r="Q114" s="9"/>
      <c r="R114" s="146">
        <f>R92+R70+R48+R26++R4</f>
        <v>1.73</v>
      </c>
      <c r="S114" s="9"/>
      <c r="T114" s="9"/>
      <c r="U114" s="9"/>
      <c r="V114" s="9"/>
      <c r="W114" s="9"/>
      <c r="X114" s="9"/>
      <c r="Y114" s="9">
        <f>Y92+Y70+Y48+Y26++Y4</f>
        <v>1.71</v>
      </c>
      <c r="Z114" s="9"/>
      <c r="AA114" s="9"/>
      <c r="AB114" s="9"/>
    </row>
    <row r="115" spans="1:28">
      <c r="I115" t="s">
        <v>49</v>
      </c>
      <c r="K115">
        <f>IF(K114&gt;3000,K116,K114)</f>
        <v>600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AC117"/>
  <sheetViews>
    <sheetView topLeftCell="O1"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四川通力达医疗水处理设备有限公司审计明细表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725</v>
      </c>
      <c r="C4" s="43" t="s">
        <v>1452</v>
      </c>
      <c r="D4" s="43" t="s">
        <v>1539</v>
      </c>
      <c r="E4" s="43" t="s">
        <v>146</v>
      </c>
      <c r="F4" s="43" t="s">
        <v>1454</v>
      </c>
      <c r="G4" s="43" t="s">
        <v>1229</v>
      </c>
      <c r="H4" s="43" t="s">
        <v>958</v>
      </c>
      <c r="I4" s="43" t="s">
        <v>1448</v>
      </c>
      <c r="J4" s="43" t="s">
        <v>933</v>
      </c>
      <c r="K4" s="43">
        <v>100</v>
      </c>
      <c r="L4" s="43" t="s">
        <v>1540</v>
      </c>
      <c r="M4" s="49" t="s">
        <v>1541</v>
      </c>
      <c r="N4" s="65">
        <v>44873</v>
      </c>
      <c r="O4" s="65">
        <v>45050</v>
      </c>
      <c r="P4" s="43">
        <f>P11-N4</f>
        <v>194</v>
      </c>
      <c r="Q4" s="55">
        <f>SUM(Q5:Q26)</f>
        <v>1.86</v>
      </c>
      <c r="R4" s="55">
        <v>0.57999999999999996</v>
      </c>
      <c r="S4" s="43"/>
      <c r="T4" s="55">
        <f>SUM(T5:T26)</f>
        <v>1.94</v>
      </c>
      <c r="U4" s="56">
        <v>3.6499999999999998E-2</v>
      </c>
      <c r="V4" s="50"/>
      <c r="W4" s="43" t="s">
        <v>1542</v>
      </c>
      <c r="X4" s="57">
        <v>0.01</v>
      </c>
      <c r="Y4" s="43">
        <f>ROUNDDOWN(IF((O4-N4+1)*K4*X4/365&gt;R4,R4,(O4-N4+1)*K4*X4/365),2)</f>
        <v>0.48</v>
      </c>
      <c r="Z4" s="55">
        <f>R4-Y4</f>
        <v>0.1</v>
      </c>
      <c r="AA4" s="55" t="s">
        <v>108</v>
      </c>
      <c r="AB4" s="43" t="s">
        <v>61</v>
      </c>
    </row>
    <row r="5" spans="1:29" s="35" customFormat="1">
      <c r="A5" s="44"/>
      <c r="B5" s="44"/>
      <c r="C5" s="44"/>
      <c r="D5" s="44"/>
      <c r="E5" s="44"/>
      <c r="F5" s="44"/>
      <c r="G5" s="44"/>
      <c r="H5" s="44"/>
      <c r="I5" s="44"/>
      <c r="J5" s="44"/>
      <c r="K5" s="44"/>
      <c r="L5" s="44"/>
      <c r="M5" s="63"/>
      <c r="N5" s="52"/>
      <c r="O5" s="65"/>
      <c r="P5" s="53">
        <v>44886</v>
      </c>
      <c r="Q5" s="58">
        <v>0.13</v>
      </c>
      <c r="R5" s="44"/>
      <c r="S5" s="53">
        <v>44886</v>
      </c>
      <c r="T5" s="58">
        <f>(S5-N4)/360*$U$4*$K$4</f>
        <v>0.13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44916</v>
      </c>
      <c r="Q6" s="58">
        <v>0.31</v>
      </c>
      <c r="R6" s="44"/>
      <c r="S6" s="53">
        <v>44916</v>
      </c>
      <c r="T6" s="58">
        <f>(S6-S5)/360*$U$4*$K$4</f>
        <v>0.3</v>
      </c>
      <c r="U6" s="58">
        <f>T6-Q6</f>
        <v>-0.01</v>
      </c>
      <c r="V6" s="52"/>
      <c r="W6" s="44"/>
      <c r="X6" s="44"/>
      <c r="Y6" s="44"/>
      <c r="Z6" s="44"/>
      <c r="AA6" s="44"/>
      <c r="AB6" s="44"/>
    </row>
    <row r="7" spans="1:29" s="35" customFormat="1">
      <c r="A7" s="44"/>
      <c r="B7" s="44"/>
      <c r="C7" s="44"/>
      <c r="D7" s="44"/>
      <c r="E7" s="44"/>
      <c r="F7" s="44"/>
      <c r="G7" s="44"/>
      <c r="H7" s="44"/>
      <c r="I7" s="44"/>
      <c r="J7" s="44"/>
      <c r="K7" s="44"/>
      <c r="L7" s="44"/>
      <c r="M7" s="44"/>
      <c r="N7" s="52"/>
      <c r="O7" s="53"/>
      <c r="P7" s="53">
        <v>44947</v>
      </c>
      <c r="Q7" s="58">
        <v>0.32</v>
      </c>
      <c r="R7" s="44"/>
      <c r="S7" s="53">
        <v>44947</v>
      </c>
      <c r="T7" s="58">
        <f>(S7-S6)*$K$4*$U$4/360</f>
        <v>0.31</v>
      </c>
      <c r="U7" s="58">
        <f>T7-Q7</f>
        <v>-0.01</v>
      </c>
      <c r="V7" s="44"/>
      <c r="W7" s="44"/>
      <c r="X7" s="44"/>
      <c r="Y7" s="44"/>
      <c r="Z7" s="44"/>
      <c r="AA7" s="44"/>
      <c r="AB7" s="44"/>
    </row>
    <row r="8" spans="1:29" s="35" customFormat="1">
      <c r="A8" s="44"/>
      <c r="B8" s="44"/>
      <c r="C8" s="44"/>
      <c r="D8" s="44"/>
      <c r="E8" s="44"/>
      <c r="F8" s="44"/>
      <c r="G8" s="44"/>
      <c r="H8" s="44"/>
      <c r="I8" s="44"/>
      <c r="J8" s="44"/>
      <c r="K8" s="44"/>
      <c r="L8" s="44"/>
      <c r="M8" s="44"/>
      <c r="N8" s="52"/>
      <c r="O8" s="52"/>
      <c r="P8" s="53">
        <v>44978</v>
      </c>
      <c r="Q8" s="58">
        <v>0.32</v>
      </c>
      <c r="R8" s="44"/>
      <c r="S8" s="53">
        <v>44978</v>
      </c>
      <c r="T8" s="58">
        <f t="shared" ref="T8:T11" si="0">(S8-S7)*$K$4*$U$4/360</f>
        <v>0.31</v>
      </c>
      <c r="U8" s="58">
        <f t="shared" ref="U8:U11" si="1">T8-Q8</f>
        <v>-0.01</v>
      </c>
      <c r="V8" s="44"/>
      <c r="W8" s="44"/>
      <c r="X8" s="44"/>
      <c r="Y8" s="44"/>
      <c r="Z8" s="44"/>
      <c r="AA8" s="44"/>
      <c r="AB8" s="44"/>
    </row>
    <row r="9" spans="1:29" s="35" customFormat="1">
      <c r="A9" s="44"/>
      <c r="B9" s="44"/>
      <c r="C9" s="44"/>
      <c r="D9" s="44"/>
      <c r="E9" s="44"/>
      <c r="F9" s="44"/>
      <c r="G9" s="44"/>
      <c r="H9" s="44"/>
      <c r="I9" s="44"/>
      <c r="J9" s="44"/>
      <c r="K9" s="44"/>
      <c r="L9" s="44"/>
      <c r="M9" s="44"/>
      <c r="N9" s="52"/>
      <c r="O9" s="52"/>
      <c r="P9" s="53">
        <v>45006</v>
      </c>
      <c r="Q9" s="58">
        <v>0.28999999999999998</v>
      </c>
      <c r="R9" s="44"/>
      <c r="S9" s="53">
        <v>45006</v>
      </c>
      <c r="T9" s="58">
        <f t="shared" si="0"/>
        <v>0.28000000000000003</v>
      </c>
      <c r="U9" s="58">
        <f t="shared" si="1"/>
        <v>-0.01</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45037</v>
      </c>
      <c r="Q10" s="58">
        <v>0.32</v>
      </c>
      <c r="R10" s="44"/>
      <c r="S10" s="53">
        <v>45037</v>
      </c>
      <c r="T10" s="58">
        <f t="shared" si="0"/>
        <v>0.31</v>
      </c>
      <c r="U10" s="58">
        <f t="shared" si="1"/>
        <v>-0.01</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45067</v>
      </c>
      <c r="Q11" s="58">
        <v>0.17</v>
      </c>
      <c r="R11" s="44"/>
      <c r="S11" s="53">
        <v>45067</v>
      </c>
      <c r="T11" s="58">
        <f t="shared" si="0"/>
        <v>0.3</v>
      </c>
      <c r="U11" s="58">
        <f t="shared" si="1"/>
        <v>0.13</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四川通力达医疗水处理设备有限公司</v>
      </c>
      <c r="C27" s="43" t="str">
        <f t="shared" ref="C27:G27" si="2">C4</f>
        <v>郫都区市场监督管理局</v>
      </c>
      <c r="D27" s="43" t="str">
        <f t="shared" si="2"/>
        <v>91510124MA6CP6RJ98</v>
      </c>
      <c r="E27" s="43" t="str">
        <f t="shared" si="2"/>
        <v>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四川通力达医疗水处理设备有限公司</v>
      </c>
      <c r="C49" s="43" t="str">
        <f t="shared" ref="C49:G49" si="3">C27</f>
        <v>郫都区市场监督管理局</v>
      </c>
      <c r="D49" s="43" t="str">
        <f t="shared" si="3"/>
        <v>91510124MA6CP6RJ98</v>
      </c>
      <c r="E49" s="43" t="str">
        <f t="shared" si="3"/>
        <v>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四川通力达医疗水处理设备有限公司</v>
      </c>
      <c r="C71" s="43" t="str">
        <f t="shared" ref="C71:G71" si="4">C49</f>
        <v>郫都区市场监督管理局</v>
      </c>
      <c r="D71" s="43" t="str">
        <f t="shared" si="4"/>
        <v>91510124MA6CP6RJ98</v>
      </c>
      <c r="E71" s="43" t="str">
        <f t="shared" si="4"/>
        <v>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四川通力达医疗水处理设备有限公司</v>
      </c>
      <c r="C93" s="43" t="str">
        <f t="shared" ref="C93:G93" si="5">C71</f>
        <v>郫都区市场监督管理局</v>
      </c>
      <c r="D93" s="43" t="str">
        <f t="shared" si="5"/>
        <v>91510124MA6CP6RJ98</v>
      </c>
      <c r="E93" s="43" t="str">
        <f t="shared" si="5"/>
        <v>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v>
      </c>
      <c r="L115" s="43"/>
      <c r="M115" s="43"/>
      <c r="N115" s="50"/>
      <c r="O115" s="50"/>
      <c r="P115" s="43"/>
      <c r="Q115" s="43"/>
      <c r="R115" s="43"/>
      <c r="S115" s="43"/>
      <c r="T115" s="43"/>
      <c r="U115" s="43"/>
      <c r="V115" s="43"/>
      <c r="W115" s="43"/>
      <c r="X115" s="43"/>
      <c r="Y115" s="43">
        <f>Y93+Y71+Y49+Y27++Y4</f>
        <v>0.48</v>
      </c>
      <c r="Z115" s="43"/>
      <c r="AA115" s="43"/>
      <c r="AB115" s="43"/>
    </row>
    <row r="116" spans="1:28">
      <c r="I116" s="36" t="s">
        <v>49</v>
      </c>
      <c r="K116" s="36">
        <f>IF(K115&gt;3000,K117,K115)</f>
        <v>100</v>
      </c>
    </row>
    <row r="117" spans="1:28" hidden="1">
      <c r="K117" s="36">
        <f>IF(K116&gt;3000,K118,K116)</f>
        <v>100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成都顺康三森电子有限责任公司审计明细表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661</v>
      </c>
      <c r="C4" s="43" t="s">
        <v>1452</v>
      </c>
      <c r="D4" s="43" t="s">
        <v>1543</v>
      </c>
      <c r="E4" s="43" t="s">
        <v>146</v>
      </c>
      <c r="F4" s="43" t="s">
        <v>1454</v>
      </c>
      <c r="G4" s="43" t="s">
        <v>1229</v>
      </c>
      <c r="H4" s="43" t="s">
        <v>71</v>
      </c>
      <c r="I4" s="43" t="s">
        <v>1544</v>
      </c>
      <c r="J4" s="43" t="s">
        <v>73</v>
      </c>
      <c r="K4" s="43">
        <v>500</v>
      </c>
      <c r="L4" s="43" t="s">
        <v>1545</v>
      </c>
      <c r="M4" s="49" t="s">
        <v>1546</v>
      </c>
      <c r="N4" s="65">
        <v>44994</v>
      </c>
      <c r="O4" s="65">
        <v>45291</v>
      </c>
      <c r="P4" s="43">
        <f>P14-N4</f>
        <v>318</v>
      </c>
      <c r="Q4" s="55">
        <f>SUM(Q5:Q26)</f>
        <v>14.85</v>
      </c>
      <c r="R4" s="55">
        <v>6.25</v>
      </c>
      <c r="S4" s="43"/>
      <c r="T4" s="55">
        <f>SUM(T5:T26)</f>
        <v>15.9</v>
      </c>
      <c r="U4" s="56">
        <v>3.5999999999999997E-2</v>
      </c>
      <c r="V4" s="50"/>
      <c r="W4" s="43" t="s">
        <v>42</v>
      </c>
      <c r="X4" s="57">
        <v>1.4999999999999999E-2</v>
      </c>
      <c r="Y4" s="43">
        <f>ROUNDDOWN(IF((O4-N4+1)*K4*X4/365&gt;R4,R4,(O4-N4+1)*K4*X4/365),2)</f>
        <v>6.12</v>
      </c>
      <c r="Z4" s="55">
        <f>R4-Y4</f>
        <v>0.13</v>
      </c>
      <c r="AA4" s="55" t="s">
        <v>177</v>
      </c>
      <c r="AB4" s="43" t="s">
        <v>61</v>
      </c>
    </row>
    <row r="5" spans="1:29" s="35" customFormat="1">
      <c r="A5" s="44"/>
      <c r="B5" s="44"/>
      <c r="C5" s="44"/>
      <c r="D5" s="44"/>
      <c r="E5" s="44"/>
      <c r="F5" s="44"/>
      <c r="G5" s="44"/>
      <c r="H5" s="44"/>
      <c r="I5" s="44"/>
      <c r="J5" s="44"/>
      <c r="K5" s="44"/>
      <c r="L5" s="44"/>
      <c r="M5" s="63"/>
      <c r="N5" s="52"/>
      <c r="O5" s="65">
        <v>45358</v>
      </c>
      <c r="P5" s="53">
        <v>45037</v>
      </c>
      <c r="Q5" s="58">
        <v>2.15</v>
      </c>
      <c r="R5" s="44"/>
      <c r="S5" s="53">
        <v>45037</v>
      </c>
      <c r="T5" s="58">
        <f>(S5-N4)/360*$U$4*$K$4</f>
        <v>2.15</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45067</v>
      </c>
      <c r="Q6" s="58">
        <v>1.5</v>
      </c>
      <c r="R6" s="44"/>
      <c r="S6" s="53">
        <v>45067</v>
      </c>
      <c r="T6" s="58">
        <f>(S6-S5)/360*$U$4*$K$4</f>
        <v>1.5</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45098</v>
      </c>
      <c r="Q7" s="58">
        <v>1.55</v>
      </c>
      <c r="R7" s="44"/>
      <c r="S7" s="53">
        <v>45098</v>
      </c>
      <c r="T7" s="58">
        <f>(S7-S6)*$K$4*$U$4/360</f>
        <v>1.55</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45128</v>
      </c>
      <c r="Q8" s="58">
        <v>1.5</v>
      </c>
      <c r="R8" s="44"/>
      <c r="S8" s="53">
        <v>45128</v>
      </c>
      <c r="T8" s="58">
        <f t="shared" ref="T8:T14" si="0">(S8-S7)*$K$4*$U$4/360</f>
        <v>1.5</v>
      </c>
      <c r="U8" s="58">
        <f t="shared" ref="U8:U14" si="1">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45159</v>
      </c>
      <c r="Q9" s="58">
        <v>1.55</v>
      </c>
      <c r="R9" s="44"/>
      <c r="S9" s="53">
        <v>45159</v>
      </c>
      <c r="T9" s="58">
        <f t="shared" si="0"/>
        <v>1.55</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45190</v>
      </c>
      <c r="Q10" s="58">
        <v>1.55</v>
      </c>
      <c r="R10" s="44"/>
      <c r="S10" s="53">
        <v>45190</v>
      </c>
      <c r="T10" s="58">
        <f t="shared" si="0"/>
        <v>1.55</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45220</v>
      </c>
      <c r="Q11" s="58">
        <v>1.5</v>
      </c>
      <c r="R11" s="44"/>
      <c r="S11" s="53">
        <v>45220</v>
      </c>
      <c r="T11" s="58">
        <f t="shared" si="0"/>
        <v>1.5</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45251</v>
      </c>
      <c r="Q12" s="58">
        <v>1.55</v>
      </c>
      <c r="R12" s="44"/>
      <c r="S12" s="53">
        <v>45251</v>
      </c>
      <c r="T12" s="58">
        <f t="shared" si="0"/>
        <v>1.55</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45281</v>
      </c>
      <c r="Q13" s="58">
        <v>1.5</v>
      </c>
      <c r="R13" s="44"/>
      <c r="S13" s="53">
        <v>45281</v>
      </c>
      <c r="T13" s="58">
        <f t="shared" si="0"/>
        <v>1.5</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45312</v>
      </c>
      <c r="Q14" s="58">
        <v>0.5</v>
      </c>
      <c r="R14" s="44"/>
      <c r="S14" s="53">
        <v>45312</v>
      </c>
      <c r="T14" s="58">
        <f t="shared" si="0"/>
        <v>1.55</v>
      </c>
      <c r="U14" s="58">
        <f t="shared" si="1"/>
        <v>1.05</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成都顺康三森电子有限责任公司</v>
      </c>
      <c r="C27" s="43" t="str">
        <f t="shared" ref="C27:G27" si="2">C4</f>
        <v>郫都区市场监督管理局</v>
      </c>
      <c r="D27" s="43" t="str">
        <f t="shared" si="2"/>
        <v>91510124054925455G</v>
      </c>
      <c r="E27" s="43" t="str">
        <f t="shared" si="2"/>
        <v>有限责任公司</v>
      </c>
      <c r="F27" s="43" t="str">
        <f t="shared" si="2"/>
        <v>郫都区税务局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成都顺康三森电子有限责任公司</v>
      </c>
      <c r="C49" s="43" t="str">
        <f t="shared" ref="C49:G49" si="3">C27</f>
        <v>郫都区市场监督管理局</v>
      </c>
      <c r="D49" s="43" t="str">
        <f t="shared" si="3"/>
        <v>91510124054925455G</v>
      </c>
      <c r="E49" s="43" t="str">
        <f t="shared" si="3"/>
        <v>有限责任公司</v>
      </c>
      <c r="F49" s="43" t="str">
        <f t="shared" si="3"/>
        <v>郫都区税务局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成都顺康三森电子有限责任公司</v>
      </c>
      <c r="C71" s="43" t="str">
        <f t="shared" ref="C71:G71" si="4">C49</f>
        <v>郫都区市场监督管理局</v>
      </c>
      <c r="D71" s="43" t="str">
        <f t="shared" si="4"/>
        <v>91510124054925455G</v>
      </c>
      <c r="E71" s="43" t="str">
        <f t="shared" si="4"/>
        <v>有限责任公司</v>
      </c>
      <c r="F71" s="43" t="str">
        <f t="shared" si="4"/>
        <v>郫都区税务局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成都顺康三森电子有限责任公司</v>
      </c>
      <c r="C93" s="43" t="str">
        <f t="shared" ref="C93:G93" si="5">C71</f>
        <v>郫都区市场监督管理局</v>
      </c>
      <c r="D93" s="43" t="str">
        <f t="shared" si="5"/>
        <v>91510124054925455G</v>
      </c>
      <c r="E93" s="43" t="str">
        <f t="shared" si="5"/>
        <v>有限责任公司</v>
      </c>
      <c r="F93" s="43" t="str">
        <f t="shared" si="5"/>
        <v>郫都区税务局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6.12</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C117"/>
  <sheetViews>
    <sheetView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四川禾一天然药业有限公司审计明细表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703</v>
      </c>
      <c r="C4" s="43" t="s">
        <v>1547</v>
      </c>
      <c r="D4" s="43" t="s">
        <v>1548</v>
      </c>
      <c r="E4" s="43" t="s">
        <v>246</v>
      </c>
      <c r="F4" s="43" t="s">
        <v>1549</v>
      </c>
      <c r="G4" s="43" t="s">
        <v>1229</v>
      </c>
      <c r="H4" s="43" t="s">
        <v>130</v>
      </c>
      <c r="I4" s="43" t="s">
        <v>1129</v>
      </c>
      <c r="J4" s="43" t="s">
        <v>168</v>
      </c>
      <c r="K4" s="43">
        <v>1000</v>
      </c>
      <c r="L4" s="43" t="s">
        <v>1550</v>
      </c>
      <c r="M4" s="49" t="s">
        <v>1551</v>
      </c>
      <c r="N4" s="65">
        <v>45245</v>
      </c>
      <c r="O4" s="65">
        <v>45291</v>
      </c>
      <c r="P4" s="43">
        <f>P7-N4</f>
        <v>67</v>
      </c>
      <c r="Q4" s="55">
        <f>SUM(Q5:Q26)</f>
        <v>6.14</v>
      </c>
      <c r="R4" s="55">
        <v>1.93</v>
      </c>
      <c r="S4" s="43"/>
      <c r="T4" s="55">
        <f>SUM(T5:T26)</f>
        <v>6.14</v>
      </c>
      <c r="U4" s="56">
        <v>3.3000000000000002E-2</v>
      </c>
      <c r="V4" s="50"/>
      <c r="W4" s="43" t="s">
        <v>42</v>
      </c>
      <c r="X4" s="57">
        <v>1.4999999999999999E-2</v>
      </c>
      <c r="Y4" s="43">
        <f>ROUNDDOWN(IF((O4-N4+1)*K4*X4/365&gt;R4,R4,(O4-N4+1)*K4*X4/365),2)</f>
        <v>1.93</v>
      </c>
      <c r="Z4" s="55">
        <f>R4-Y4</f>
        <v>0</v>
      </c>
      <c r="AA4" s="55"/>
      <c r="AB4" s="43" t="s">
        <v>119</v>
      </c>
    </row>
    <row r="5" spans="1:29" s="35" customFormat="1">
      <c r="A5" s="44"/>
      <c r="B5" s="44"/>
      <c r="C5" s="44"/>
      <c r="D5" s="44"/>
      <c r="E5" s="44"/>
      <c r="F5" s="44"/>
      <c r="G5" s="44"/>
      <c r="H5" s="44"/>
      <c r="I5" s="44"/>
      <c r="J5" s="44"/>
      <c r="K5" s="44"/>
      <c r="L5" s="44"/>
      <c r="M5" s="63"/>
      <c r="N5" s="52"/>
      <c r="O5" s="65">
        <v>45610</v>
      </c>
      <c r="P5" s="53">
        <v>45251</v>
      </c>
      <c r="Q5" s="58">
        <v>0.55000000000000004</v>
      </c>
      <c r="R5" s="44"/>
      <c r="S5" s="53">
        <v>45251</v>
      </c>
      <c r="T5" s="58">
        <f>(S5-N4)/360*$U$4*$K$4</f>
        <v>0.55000000000000004</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45281</v>
      </c>
      <c r="Q6" s="58">
        <v>2.75</v>
      </c>
      <c r="R6" s="44"/>
      <c r="S6" s="53">
        <v>45281</v>
      </c>
      <c r="T6" s="58">
        <f>(S6-S5)/360*$U$4*$K$4</f>
        <v>2.75</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45312</v>
      </c>
      <c r="Q7" s="58">
        <v>2.84</v>
      </c>
      <c r="R7" s="44"/>
      <c r="S7" s="53">
        <v>45312</v>
      </c>
      <c r="T7" s="58">
        <f>(S7-S6)*$K$4*U4/360</f>
        <v>2.84</v>
      </c>
      <c r="U7" s="58">
        <f>T7-Q7</f>
        <v>0</v>
      </c>
      <c r="V7" s="44"/>
      <c r="W7" s="44"/>
      <c r="X7" s="44"/>
      <c r="Y7" s="44"/>
      <c r="Z7" s="44"/>
      <c r="AA7" s="44"/>
      <c r="AB7" s="44"/>
    </row>
    <row r="8" spans="1:29" s="35" customFormat="1" hidden="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hidden="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hidden="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hidden="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hidden="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四川禾一天然药业有限公司</v>
      </c>
      <c r="C27" s="43" t="str">
        <f t="shared" ref="C27:G27" si="0">C4</f>
        <v>成都市新都区市场监督管理局</v>
      </c>
      <c r="D27" s="43" t="str">
        <f t="shared" si="0"/>
        <v>915101147826533983</v>
      </c>
      <c r="E27" s="43" t="str">
        <f t="shared" si="0"/>
        <v>有限责任公司（自然人投资或控股）</v>
      </c>
      <c r="F27" s="43" t="str">
        <f t="shared" si="0"/>
        <v>成都市新都区税务局</v>
      </c>
      <c r="G27" s="43" t="str">
        <f t="shared" si="0"/>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四川禾一天然药业有限公司</v>
      </c>
      <c r="C49" s="43" t="str">
        <f t="shared" ref="C49:G49" si="1">C27</f>
        <v>成都市新都区市场监督管理局</v>
      </c>
      <c r="D49" s="43" t="str">
        <f t="shared" si="1"/>
        <v>915101147826533983</v>
      </c>
      <c r="E49" s="43" t="str">
        <f t="shared" si="1"/>
        <v>有限责任公司（自然人投资或控股）</v>
      </c>
      <c r="F49" s="43" t="str">
        <f t="shared" si="1"/>
        <v>成都市新都区税务局</v>
      </c>
      <c r="G49" s="43" t="str">
        <f t="shared" si="1"/>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四川禾一天然药业有限公司</v>
      </c>
      <c r="C71" s="43" t="str">
        <f t="shared" ref="C71:G71" si="2">C49</f>
        <v>成都市新都区市场监督管理局</v>
      </c>
      <c r="D71" s="43" t="str">
        <f t="shared" si="2"/>
        <v>915101147826533983</v>
      </c>
      <c r="E71" s="43" t="str">
        <f t="shared" si="2"/>
        <v>有限责任公司（自然人投资或控股）</v>
      </c>
      <c r="F71" s="43" t="str">
        <f t="shared" si="2"/>
        <v>成都市新都区税务局</v>
      </c>
      <c r="G71" s="43" t="str">
        <f t="shared" si="2"/>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四川禾一天然药业有限公司</v>
      </c>
      <c r="C93" s="43" t="str">
        <f t="shared" ref="C93:G93" si="3">C71</f>
        <v>成都市新都区市场监督管理局</v>
      </c>
      <c r="D93" s="43" t="str">
        <f t="shared" si="3"/>
        <v>915101147826533983</v>
      </c>
      <c r="E93" s="43" t="str">
        <f t="shared" si="3"/>
        <v>有限责任公司（自然人投资或控股）</v>
      </c>
      <c r="F93" s="43" t="str">
        <f t="shared" si="3"/>
        <v>成都市新都区税务局</v>
      </c>
      <c r="G93" s="43" t="str">
        <f t="shared" si="3"/>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1.93</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AC117"/>
  <sheetViews>
    <sheetView zoomScale="60" zoomScaleNormal="60" workbookViewId="0">
      <pane ySplit="3" topLeftCell="A4" activePane="bottomLeft" state="frozen"/>
      <selection pane="bottomLeft" activeCell="N12" sqref="N12"/>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成都特隆美储能技术有限公司审计明细表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662</v>
      </c>
      <c r="C4" s="43" t="s">
        <v>1547</v>
      </c>
      <c r="D4" s="43" t="s">
        <v>1552</v>
      </c>
      <c r="E4" s="43" t="s">
        <v>121</v>
      </c>
      <c r="F4" s="43" t="s">
        <v>1549</v>
      </c>
      <c r="G4" s="43" t="s">
        <v>1229</v>
      </c>
      <c r="H4" s="43" t="s">
        <v>958</v>
      </c>
      <c r="I4" s="43" t="s">
        <v>1553</v>
      </c>
      <c r="J4" s="43" t="s">
        <v>168</v>
      </c>
      <c r="K4" s="43">
        <v>300</v>
      </c>
      <c r="L4" s="43" t="s">
        <v>1554</v>
      </c>
      <c r="M4" s="49" t="s">
        <v>1555</v>
      </c>
      <c r="N4" s="65">
        <v>45159</v>
      </c>
      <c r="O4" s="65">
        <v>45291</v>
      </c>
      <c r="P4" s="43">
        <f>P9-N4</f>
        <v>152</v>
      </c>
      <c r="Q4" s="55">
        <f>SUM(Q5:Q26)</f>
        <v>5.17</v>
      </c>
      <c r="R4" s="55">
        <v>1.0900000000000001</v>
      </c>
      <c r="S4" s="43"/>
      <c r="T4" s="55">
        <f>SUM(T5:T26)</f>
        <v>5.21</v>
      </c>
      <c r="U4" s="56">
        <v>4.1000000000000002E-2</v>
      </c>
      <c r="V4" s="50"/>
      <c r="W4" s="43" t="s">
        <v>42</v>
      </c>
      <c r="X4" s="57">
        <v>0.01</v>
      </c>
      <c r="Y4" s="43">
        <f>ROUNDDOWN(IF((O4-N4+1)*K4*X4/365&gt;R4,R4,(O4-N4+1)*K4*X4/365),2)</f>
        <v>1.0900000000000001</v>
      </c>
      <c r="Z4" s="55">
        <f>R4-Y4</f>
        <v>0</v>
      </c>
      <c r="AA4" s="55"/>
      <c r="AB4" s="43" t="s">
        <v>61</v>
      </c>
    </row>
    <row r="5" spans="1:29" s="35" customFormat="1">
      <c r="A5" s="44"/>
      <c r="B5" s="44"/>
      <c r="C5" s="44"/>
      <c r="D5" s="44"/>
      <c r="E5" s="44"/>
      <c r="F5" s="44"/>
      <c r="G5" s="44"/>
      <c r="H5" s="44"/>
      <c r="I5" s="44"/>
      <c r="J5" s="44"/>
      <c r="K5" s="44"/>
      <c r="L5" s="44"/>
      <c r="M5" s="63"/>
      <c r="N5" s="52"/>
      <c r="O5" s="65">
        <v>45524</v>
      </c>
      <c r="P5" s="53">
        <v>45189</v>
      </c>
      <c r="Q5" s="58">
        <v>0.99</v>
      </c>
      <c r="R5" s="44"/>
      <c r="S5" s="53">
        <v>45189</v>
      </c>
      <c r="T5" s="58">
        <f>(S5-N4)/360*$U$4*$K$4</f>
        <v>1.03</v>
      </c>
      <c r="U5" s="58">
        <f>T5-Q5</f>
        <v>0.04</v>
      </c>
      <c r="V5" s="52"/>
      <c r="W5" s="44"/>
      <c r="X5" s="44"/>
      <c r="Y5" s="44"/>
      <c r="Z5" s="44"/>
      <c r="AA5" s="44"/>
      <c r="AB5" s="44"/>
    </row>
    <row r="6" spans="1:29" s="35" customFormat="1">
      <c r="A6" s="44"/>
      <c r="B6" s="44"/>
      <c r="C6" s="44"/>
      <c r="D6" s="44"/>
      <c r="E6" s="44"/>
      <c r="F6" s="44"/>
      <c r="G6" s="44"/>
      <c r="H6" s="44"/>
      <c r="I6" s="44"/>
      <c r="J6" s="44"/>
      <c r="K6" s="44"/>
      <c r="L6" s="44"/>
      <c r="M6" s="63"/>
      <c r="N6" s="52"/>
      <c r="O6" s="53"/>
      <c r="P6" s="53">
        <v>45219</v>
      </c>
      <c r="Q6" s="58">
        <v>1.03</v>
      </c>
      <c r="R6" s="44"/>
      <c r="S6" s="53">
        <v>45219</v>
      </c>
      <c r="T6" s="58">
        <f>(S6-S5)/360*$U$4*$K$4</f>
        <v>1.03</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45250</v>
      </c>
      <c r="Q7" s="58">
        <v>1.06</v>
      </c>
      <c r="R7" s="44"/>
      <c r="S7" s="53">
        <v>45250</v>
      </c>
      <c r="T7" s="58">
        <f>(S7-S6)*$K$4*U4/360</f>
        <v>1.06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45280</v>
      </c>
      <c r="Q8" s="58">
        <v>1.03</v>
      </c>
      <c r="R8" s="44"/>
      <c r="S8" s="53">
        <v>45280</v>
      </c>
      <c r="T8" s="58">
        <f>(S8-S7)*$K$4*$U$4/360</f>
        <v>1.03</v>
      </c>
      <c r="U8" s="58">
        <f t="shared" ref="U8:U9"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45311</v>
      </c>
      <c r="Q9" s="58">
        <v>1.06</v>
      </c>
      <c r="R9" s="44"/>
      <c r="S9" s="53">
        <v>45311</v>
      </c>
      <c r="T9" s="58">
        <f>(S9-S8)*$K$4*$U$4/360</f>
        <v>1.06</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成都特隆美储能技术有限公司</v>
      </c>
      <c r="C27" s="43" t="str">
        <f t="shared" ref="C27:G27" si="1">C4</f>
        <v>成都市新都区市场监督管理局</v>
      </c>
      <c r="D27" s="43" t="str">
        <f t="shared" si="1"/>
        <v>91510114MA62QYCA2C</v>
      </c>
      <c r="E27" s="43" t="str">
        <f t="shared" si="1"/>
        <v>其他有限责任公司</v>
      </c>
      <c r="F27" s="43" t="str">
        <f t="shared" si="1"/>
        <v>成都市新都区税务局</v>
      </c>
      <c r="G27" s="43" t="str">
        <f t="shared" si="1"/>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成都特隆美储能技术有限公司</v>
      </c>
      <c r="C49" s="43" t="str">
        <f t="shared" ref="C49:G49" si="2">C27</f>
        <v>成都市新都区市场监督管理局</v>
      </c>
      <c r="D49" s="43" t="str">
        <f t="shared" si="2"/>
        <v>91510114MA62QYCA2C</v>
      </c>
      <c r="E49" s="43" t="str">
        <f t="shared" si="2"/>
        <v>其他有限责任公司</v>
      </c>
      <c r="F49" s="43" t="str">
        <f t="shared" si="2"/>
        <v>成都市新都区税务局</v>
      </c>
      <c r="G49" s="43" t="str">
        <f t="shared" si="2"/>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成都特隆美储能技术有限公司</v>
      </c>
      <c r="C71" s="43" t="str">
        <f t="shared" ref="C71:G71" si="3">C49</f>
        <v>成都市新都区市场监督管理局</v>
      </c>
      <c r="D71" s="43" t="str">
        <f t="shared" si="3"/>
        <v>91510114MA62QYCA2C</v>
      </c>
      <c r="E71" s="43" t="str">
        <f t="shared" si="3"/>
        <v>其他有限责任公司</v>
      </c>
      <c r="F71" s="43" t="str">
        <f t="shared" si="3"/>
        <v>成都市新都区税务局</v>
      </c>
      <c r="G71" s="43" t="str">
        <f t="shared" si="3"/>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成都特隆美储能技术有限公司</v>
      </c>
      <c r="C93" s="43" t="str">
        <f t="shared" ref="C93:G93" si="4">C71</f>
        <v>成都市新都区市场监督管理局</v>
      </c>
      <c r="D93" s="43" t="str">
        <f t="shared" si="4"/>
        <v>91510114MA62QYCA2C</v>
      </c>
      <c r="E93" s="43" t="str">
        <f t="shared" si="4"/>
        <v>其他有限责任公司</v>
      </c>
      <c r="F93" s="43" t="str">
        <f t="shared" si="4"/>
        <v>成都市新都区税务局</v>
      </c>
      <c r="G93" s="43" t="str">
        <f t="shared" si="4"/>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v>
      </c>
      <c r="L115" s="43"/>
      <c r="M115" s="43"/>
      <c r="N115" s="50"/>
      <c r="O115" s="50"/>
      <c r="P115" s="43"/>
      <c r="Q115" s="43"/>
      <c r="R115" s="43"/>
      <c r="S115" s="43"/>
      <c r="T115" s="43"/>
      <c r="U115" s="43"/>
      <c r="V115" s="43"/>
      <c r="W115" s="43"/>
      <c r="X115" s="43"/>
      <c r="Y115" s="43">
        <f>Y93+Y71+Y49+Y27++Y4</f>
        <v>1.0900000000000001</v>
      </c>
      <c r="Z115" s="43"/>
      <c r="AA115" s="43"/>
      <c r="AB115" s="43"/>
    </row>
    <row r="116" spans="1:28">
      <c r="I116" s="36" t="s">
        <v>49</v>
      </c>
      <c r="K116" s="36">
        <f>IF(K115&gt;3000,K117,K115)</f>
        <v>300</v>
      </c>
    </row>
    <row r="117" spans="1:28" hidden="1">
      <c r="K117" s="36">
        <f>IF(K116&gt;3000,K118,K116)</f>
        <v>300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四川省泓圃药业有限公司审计明细表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720</v>
      </c>
      <c r="C4" s="43" t="s">
        <v>1547</v>
      </c>
      <c r="D4" s="43" t="s">
        <v>1556</v>
      </c>
      <c r="E4" s="43" t="s">
        <v>246</v>
      </c>
      <c r="F4" s="43" t="s">
        <v>1549</v>
      </c>
      <c r="G4" s="43" t="s">
        <v>1229</v>
      </c>
      <c r="H4" s="43" t="s">
        <v>958</v>
      </c>
      <c r="I4" s="43" t="s">
        <v>1557</v>
      </c>
      <c r="J4" s="43" t="s">
        <v>168</v>
      </c>
      <c r="K4" s="43">
        <v>300</v>
      </c>
      <c r="L4" s="43" t="s">
        <v>1558</v>
      </c>
      <c r="M4" s="49" t="s">
        <v>1559</v>
      </c>
      <c r="N4" s="65">
        <v>44831</v>
      </c>
      <c r="O4" s="65">
        <v>45195</v>
      </c>
      <c r="P4" s="43">
        <f>P16-N4</f>
        <v>358</v>
      </c>
      <c r="Q4" s="55">
        <f>SUM(Q5:Q26)</f>
        <v>11.19</v>
      </c>
      <c r="R4" s="55">
        <v>3</v>
      </c>
      <c r="S4" s="43"/>
      <c r="T4" s="55">
        <f>SUM(T5:T26)</f>
        <v>11.21</v>
      </c>
      <c r="U4" s="56">
        <v>3.7499999999999999E-2</v>
      </c>
      <c r="V4" s="50"/>
      <c r="W4" s="43" t="s">
        <v>42</v>
      </c>
      <c r="X4" s="57">
        <v>0.01</v>
      </c>
      <c r="Y4" s="66">
        <f>ROUNDDOWN(IF((O4-N4+1)*K4*X4/365&gt;R4,R4,(O4-N4+1)*K4*X4/365),2)</f>
        <v>3</v>
      </c>
      <c r="Z4" s="55">
        <f>R4-Y4</f>
        <v>0</v>
      </c>
      <c r="AA4" s="55"/>
      <c r="AB4" s="43" t="s">
        <v>61</v>
      </c>
    </row>
    <row r="5" spans="1:29" s="35" customFormat="1">
      <c r="A5" s="44"/>
      <c r="B5" s="44"/>
      <c r="C5" s="44"/>
      <c r="D5" s="44"/>
      <c r="E5" s="44"/>
      <c r="F5" s="44"/>
      <c r="G5" s="44"/>
      <c r="H5" s="44"/>
      <c r="I5" s="44"/>
      <c r="J5" s="44"/>
      <c r="K5" s="44"/>
      <c r="L5" s="44"/>
      <c r="M5" s="63"/>
      <c r="N5" s="52"/>
      <c r="O5" s="52"/>
      <c r="P5" s="53">
        <v>44854</v>
      </c>
      <c r="Q5" s="58">
        <v>0.71875</v>
      </c>
      <c r="R5" s="44"/>
      <c r="S5" s="53">
        <v>44854</v>
      </c>
      <c r="T5" s="58">
        <f>(S5-N4)/360*$U$4*$K$4</f>
        <v>0.72</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44885</v>
      </c>
      <c r="Q6" s="58">
        <v>0.96875</v>
      </c>
      <c r="R6" s="44"/>
      <c r="S6" s="53">
        <v>44885</v>
      </c>
      <c r="T6" s="58">
        <f>(S6-S5)/360*$U$4*$K$4</f>
        <v>0.97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44915</v>
      </c>
      <c r="Q7" s="58">
        <v>0.9375</v>
      </c>
      <c r="R7" s="44"/>
      <c r="S7" s="53">
        <v>44915</v>
      </c>
      <c r="T7" s="58">
        <f>(S7-S6)*$K$4*U4/360</f>
        <v>0.94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44946</v>
      </c>
      <c r="Q8" s="58">
        <v>0.96875</v>
      </c>
      <c r="R8" s="44"/>
      <c r="S8" s="53">
        <v>44946</v>
      </c>
      <c r="T8" s="58">
        <f>(S8-S7)*$K$4*$U$4/360</f>
        <v>0.97</v>
      </c>
      <c r="U8" s="58">
        <f t="shared" ref="U8:U16"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44977</v>
      </c>
      <c r="Q9" s="58">
        <v>0.96875</v>
      </c>
      <c r="R9" s="44"/>
      <c r="S9" s="53">
        <v>44977</v>
      </c>
      <c r="T9" s="58">
        <f t="shared" ref="T9:T16" si="1">(S9-S8)*$K$4*$U$4/360</f>
        <v>0.97</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45005</v>
      </c>
      <c r="Q10" s="58">
        <v>0.875</v>
      </c>
      <c r="R10" s="44"/>
      <c r="S10" s="53">
        <v>45005</v>
      </c>
      <c r="T10" s="58">
        <f t="shared" si="1"/>
        <v>0.88</v>
      </c>
      <c r="U10" s="58">
        <f t="shared" si="0"/>
        <v>0.01</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45036</v>
      </c>
      <c r="Q11" s="58">
        <v>0.96875</v>
      </c>
      <c r="R11" s="44"/>
      <c r="S11" s="53">
        <v>45036</v>
      </c>
      <c r="T11" s="58">
        <f t="shared" si="1"/>
        <v>0.97</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45066</v>
      </c>
      <c r="Q12" s="58">
        <v>0.9375</v>
      </c>
      <c r="R12" s="44"/>
      <c r="S12" s="53">
        <v>45066</v>
      </c>
      <c r="T12" s="58">
        <f t="shared" si="1"/>
        <v>0.94</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45097</v>
      </c>
      <c r="Q13" s="58">
        <v>0.96875</v>
      </c>
      <c r="R13" s="44"/>
      <c r="S13" s="53">
        <v>45097</v>
      </c>
      <c r="T13" s="58">
        <f t="shared" si="1"/>
        <v>0.97</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45127</v>
      </c>
      <c r="Q14" s="58">
        <v>0.9375</v>
      </c>
      <c r="R14" s="44"/>
      <c r="S14" s="53">
        <v>45127</v>
      </c>
      <c r="T14" s="58">
        <f t="shared" si="1"/>
        <v>0.94</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45158</v>
      </c>
      <c r="Q15" s="58">
        <v>0.96875</v>
      </c>
      <c r="R15" s="44"/>
      <c r="S15" s="53">
        <v>45158</v>
      </c>
      <c r="T15" s="58">
        <f t="shared" si="1"/>
        <v>0.97</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45189</v>
      </c>
      <c r="Q16" s="58">
        <v>0.96875</v>
      </c>
      <c r="R16" s="44"/>
      <c r="S16" s="53">
        <v>45189</v>
      </c>
      <c r="T16" s="58">
        <f t="shared" si="1"/>
        <v>0.97</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四川省泓圃药业有限公司</v>
      </c>
      <c r="C27" s="43" t="str">
        <f t="shared" ref="C27:G27" si="2">C4</f>
        <v>成都市新都区市场监督管理局</v>
      </c>
      <c r="D27" s="43" t="str">
        <f t="shared" si="2"/>
        <v>91510114MA61TJK9XW</v>
      </c>
      <c r="E27" s="43" t="str">
        <f t="shared" si="2"/>
        <v>有限责任公司（自然人投资或控股）</v>
      </c>
      <c r="F27" s="43" t="str">
        <f t="shared" si="2"/>
        <v>成都市新都区税务局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四川省泓圃药业有限公司</v>
      </c>
      <c r="C49" s="43" t="str">
        <f t="shared" ref="C49:G49" si="3">C27</f>
        <v>成都市新都区市场监督管理局</v>
      </c>
      <c r="D49" s="43" t="str">
        <f t="shared" si="3"/>
        <v>91510114MA61TJK9XW</v>
      </c>
      <c r="E49" s="43" t="str">
        <f t="shared" si="3"/>
        <v>有限责任公司（自然人投资或控股）</v>
      </c>
      <c r="F49" s="43" t="str">
        <f t="shared" si="3"/>
        <v>成都市新都区税务局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四川省泓圃药业有限公司</v>
      </c>
      <c r="C71" s="43" t="str">
        <f t="shared" ref="C71:G71" si="4">C49</f>
        <v>成都市新都区市场监督管理局</v>
      </c>
      <c r="D71" s="43" t="str">
        <f t="shared" si="4"/>
        <v>91510114MA61TJK9XW</v>
      </c>
      <c r="E71" s="43" t="str">
        <f t="shared" si="4"/>
        <v>有限责任公司（自然人投资或控股）</v>
      </c>
      <c r="F71" s="43" t="str">
        <f t="shared" si="4"/>
        <v>成都市新都区税务局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四川省泓圃药业有限公司</v>
      </c>
      <c r="C93" s="43" t="str">
        <f t="shared" ref="C93:G93" si="5">C71</f>
        <v>成都市新都区市场监督管理局</v>
      </c>
      <c r="D93" s="43" t="str">
        <f t="shared" si="5"/>
        <v>91510114MA61TJK9XW</v>
      </c>
      <c r="E93" s="43" t="str">
        <f t="shared" si="5"/>
        <v>有限责任公司（自然人投资或控股）</v>
      </c>
      <c r="F93" s="43" t="str">
        <f t="shared" si="5"/>
        <v>成都市新都区税务局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v>
      </c>
      <c r="L115" s="43"/>
      <c r="M115" s="43"/>
      <c r="N115" s="50"/>
      <c r="O115" s="50"/>
      <c r="P115" s="43"/>
      <c r="Q115" s="43"/>
      <c r="R115" s="43"/>
      <c r="S115" s="43"/>
      <c r="T115" s="43"/>
      <c r="U115" s="43"/>
      <c r="V115" s="43"/>
      <c r="W115" s="43"/>
      <c r="X115" s="43"/>
      <c r="Y115" s="43">
        <f>Y93+Y71+Y49+Y27++Y4</f>
        <v>3</v>
      </c>
      <c r="Z115" s="43"/>
      <c r="AA115" s="43"/>
      <c r="AB115" s="43"/>
    </row>
    <row r="116" spans="1:28">
      <c r="I116" s="36" t="s">
        <v>49</v>
      </c>
      <c r="K116" s="36">
        <f>IF(K115&gt;3000,K117,K115)</f>
        <v>300</v>
      </c>
    </row>
    <row r="117" spans="1:28" hidden="1">
      <c r="K117" s="36">
        <f>IF(K116&gt;3000,K118,K116)</f>
        <v>300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AC117"/>
  <sheetViews>
    <sheetView workbookViewId="0">
      <pane ySplit="3" topLeftCell="A4" activePane="bottomLeft" state="frozen"/>
      <selection pane="bottomLeft" activeCell="L4" sqref="L4:M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四川兴睿龙实业有限公司审计明细表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729</v>
      </c>
      <c r="C4" s="43" t="s">
        <v>1547</v>
      </c>
      <c r="D4" s="43" t="s">
        <v>1560</v>
      </c>
      <c r="E4" s="43" t="s">
        <v>246</v>
      </c>
      <c r="F4" s="43" t="s">
        <v>1549</v>
      </c>
      <c r="G4" s="43" t="s">
        <v>1229</v>
      </c>
      <c r="H4" s="43" t="s">
        <v>71</v>
      </c>
      <c r="I4" s="43" t="s">
        <v>1561</v>
      </c>
      <c r="J4" s="43" t="s">
        <v>168</v>
      </c>
      <c r="K4" s="43">
        <v>500</v>
      </c>
      <c r="L4" s="43" t="s">
        <v>1562</v>
      </c>
      <c r="M4" s="49" t="s">
        <v>1563</v>
      </c>
      <c r="N4" s="65">
        <v>45106</v>
      </c>
      <c r="O4" s="65">
        <v>45291</v>
      </c>
      <c r="P4" s="43">
        <f>P11-N4</f>
        <v>206</v>
      </c>
      <c r="Q4" s="55">
        <f>SUM(Q5:Q26)</f>
        <v>10.88</v>
      </c>
      <c r="R4" s="55">
        <v>3.8</v>
      </c>
      <c r="S4" s="43"/>
      <c r="T4" s="55">
        <f>SUM(T5:T26)</f>
        <v>10.88</v>
      </c>
      <c r="U4" s="56">
        <v>3.7999999999999999E-2</v>
      </c>
      <c r="V4" s="50"/>
      <c r="W4" s="43" t="s">
        <v>42</v>
      </c>
      <c r="X4" s="57">
        <v>1.4999999999999999E-2</v>
      </c>
      <c r="Y4" s="66">
        <f>ROUNDDOWN(IF((O4-N4+1)*K4*X4/365&gt;R4,R4,(O4-N4+1)*K4*X4/365),2)</f>
        <v>3.8</v>
      </c>
      <c r="Z4" s="55">
        <f>R4-Y4</f>
        <v>0</v>
      </c>
      <c r="AA4" s="55"/>
      <c r="AB4" s="43" t="s">
        <v>61</v>
      </c>
    </row>
    <row r="5" spans="1:29" s="35" customFormat="1">
      <c r="A5" s="44"/>
      <c r="B5" s="44"/>
      <c r="C5" s="44"/>
      <c r="D5" s="44"/>
      <c r="E5" s="44"/>
      <c r="F5" s="44"/>
      <c r="G5" s="44"/>
      <c r="H5" s="44"/>
      <c r="I5" s="44"/>
      <c r="J5" s="44"/>
      <c r="K5" s="44"/>
      <c r="L5" s="44"/>
      <c r="M5" s="63"/>
      <c r="N5" s="52"/>
      <c r="O5" s="65">
        <v>45470</v>
      </c>
      <c r="P5" s="53">
        <v>45128</v>
      </c>
      <c r="Q5" s="58">
        <v>1.1599999999999999</v>
      </c>
      <c r="R5" s="44"/>
      <c r="S5" s="53">
        <v>45128</v>
      </c>
      <c r="T5" s="58">
        <f>(S5-N4)/360*$U$4*$K$4</f>
        <v>1.1599999999999999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45159</v>
      </c>
      <c r="Q6" s="58">
        <v>1.64</v>
      </c>
      <c r="R6" s="44"/>
      <c r="S6" s="53">
        <v>45159</v>
      </c>
      <c r="T6" s="58">
        <f>(S6-S5)/360*$U$4*$K$4</f>
        <v>1.64</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45190</v>
      </c>
      <c r="Q7" s="58">
        <v>1.64</v>
      </c>
      <c r="R7" s="44"/>
      <c r="S7" s="53">
        <v>45190</v>
      </c>
      <c r="T7" s="58">
        <f>(S7-S6)*$K$4*U4/360</f>
        <v>1.64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45220</v>
      </c>
      <c r="Q8" s="58">
        <v>1.58</v>
      </c>
      <c r="R8" s="44"/>
      <c r="S8" s="53">
        <v>45220</v>
      </c>
      <c r="T8" s="58">
        <f>(S8-S7)*$K$4*$U$4/360</f>
        <v>1.58</v>
      </c>
      <c r="U8" s="58">
        <f t="shared" ref="U8:U11"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45251</v>
      </c>
      <c r="Q9" s="58">
        <v>1.64</v>
      </c>
      <c r="R9" s="44"/>
      <c r="S9" s="53">
        <v>45251</v>
      </c>
      <c r="T9" s="58">
        <f t="shared" ref="T9:T11" si="1">(S9-S8)*$K$4*$U$4/360</f>
        <v>1.64</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45281</v>
      </c>
      <c r="Q10" s="58">
        <v>1.58</v>
      </c>
      <c r="R10" s="44"/>
      <c r="S10" s="53">
        <v>45281</v>
      </c>
      <c r="T10" s="58">
        <f t="shared" si="1"/>
        <v>1.58</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45312</v>
      </c>
      <c r="Q11" s="58">
        <v>1.64</v>
      </c>
      <c r="R11" s="44"/>
      <c r="S11" s="53">
        <v>45312</v>
      </c>
      <c r="T11" s="58">
        <f t="shared" si="1"/>
        <v>1.64</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126" hidden="1">
      <c r="A27" s="43">
        <v>2</v>
      </c>
      <c r="B27" s="43" t="str">
        <f>B4</f>
        <v>四川兴睿龙实业有限公司</v>
      </c>
      <c r="C27" s="43" t="str">
        <f t="shared" ref="C27:G27" si="2">C4</f>
        <v>成都市新都区市场监督管理局</v>
      </c>
      <c r="D27" s="43" t="str">
        <f t="shared" si="2"/>
        <v>91510114660492768D</v>
      </c>
      <c r="E27" s="43" t="str">
        <f t="shared" si="2"/>
        <v>有限责任公司（自然人投资或控股）</v>
      </c>
      <c r="F27" s="43" t="str">
        <f t="shared" si="2"/>
        <v>成都市新都区税务局</v>
      </c>
      <c r="G27" s="43" t="str">
        <f t="shared" si="2"/>
        <v>收款账号：511610018010210321008
开户行：交通银行成都双流棠湖支行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126" hidden="1">
      <c r="A49" s="43">
        <v>3</v>
      </c>
      <c r="B49" s="43" t="str">
        <f>B27</f>
        <v>四川兴睿龙实业有限公司</v>
      </c>
      <c r="C49" s="43" t="str">
        <f t="shared" ref="C49:G49" si="3">C27</f>
        <v>成都市新都区市场监督管理局</v>
      </c>
      <c r="D49" s="43" t="str">
        <f t="shared" si="3"/>
        <v>91510114660492768D</v>
      </c>
      <c r="E49" s="43" t="str">
        <f t="shared" si="3"/>
        <v>有限责任公司（自然人投资或控股）</v>
      </c>
      <c r="F49" s="43" t="str">
        <f t="shared" si="3"/>
        <v>成都市新都区税务局</v>
      </c>
      <c r="G49" s="43" t="str">
        <f t="shared" si="3"/>
        <v>收款账号：511610018010210321008
开户行：交通银行成都双流棠湖支行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126" hidden="1">
      <c r="A71" s="43">
        <v>4</v>
      </c>
      <c r="B71" s="43" t="str">
        <f>B49</f>
        <v>四川兴睿龙实业有限公司</v>
      </c>
      <c r="C71" s="43" t="str">
        <f t="shared" ref="C71:G71" si="4">C49</f>
        <v>成都市新都区市场监督管理局</v>
      </c>
      <c r="D71" s="43" t="str">
        <f t="shared" si="4"/>
        <v>91510114660492768D</v>
      </c>
      <c r="E71" s="43" t="str">
        <f t="shared" si="4"/>
        <v>有限责任公司（自然人投资或控股）</v>
      </c>
      <c r="F71" s="43" t="str">
        <f t="shared" si="4"/>
        <v>成都市新都区税务局</v>
      </c>
      <c r="G71" s="43" t="str">
        <f t="shared" si="4"/>
        <v>收款账号：511610018010210321008
开户行：交通银行成都双流棠湖支行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126" hidden="1">
      <c r="A93" s="43">
        <v>5</v>
      </c>
      <c r="B93" s="43" t="str">
        <f>B71</f>
        <v>四川兴睿龙实业有限公司</v>
      </c>
      <c r="C93" s="43" t="str">
        <f t="shared" ref="C93:G93" si="5">C71</f>
        <v>成都市新都区市场监督管理局</v>
      </c>
      <c r="D93" s="43" t="str">
        <f t="shared" si="5"/>
        <v>91510114660492768D</v>
      </c>
      <c r="E93" s="43" t="str">
        <f t="shared" si="5"/>
        <v>有限责任公司（自然人投资或控股）</v>
      </c>
      <c r="F93" s="43" t="str">
        <f t="shared" si="5"/>
        <v>成都市新都区税务局</v>
      </c>
      <c r="G93" s="43" t="str">
        <f t="shared" si="5"/>
        <v>收款账号：511610018010210321008
开户行：交通银行成都双流棠湖支行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3.8</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AC117"/>
  <sheetViews>
    <sheetView topLeftCell="I1" zoomScale="80" zoomScaleNormal="80"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成都市新美加机械设备制造有限公司审计明细表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84">
      <c r="A4" s="43">
        <v>1</v>
      </c>
      <c r="B4" s="43" t="s">
        <v>660</v>
      </c>
      <c r="C4" s="43" t="s">
        <v>1547</v>
      </c>
      <c r="D4" s="43" t="s">
        <v>1564</v>
      </c>
      <c r="E4" s="43" t="s">
        <v>246</v>
      </c>
      <c r="F4" s="43" t="s">
        <v>1549</v>
      </c>
      <c r="G4" s="43" t="s">
        <v>1565</v>
      </c>
      <c r="H4" s="43" t="s">
        <v>71</v>
      </c>
      <c r="I4" s="43" t="s">
        <v>1566</v>
      </c>
      <c r="J4" s="43" t="s">
        <v>66</v>
      </c>
      <c r="K4" s="43">
        <v>600</v>
      </c>
      <c r="L4" s="43" t="s">
        <v>1567</v>
      </c>
      <c r="M4" s="49" t="s">
        <v>1568</v>
      </c>
      <c r="N4" s="65">
        <v>44965</v>
      </c>
      <c r="O4" s="65">
        <v>45291</v>
      </c>
      <c r="P4" s="43">
        <f>P16-N4</f>
        <v>346</v>
      </c>
      <c r="Q4" s="55">
        <f>SUM(Q5:Q26)</f>
        <v>26.17</v>
      </c>
      <c r="R4" s="55">
        <v>7.9</v>
      </c>
      <c r="S4" s="43"/>
      <c r="T4" s="55">
        <f>SUM(T5:T26)</f>
        <v>26.82</v>
      </c>
      <c r="U4" s="56">
        <v>4.65E-2</v>
      </c>
      <c r="V4" s="50"/>
      <c r="W4" s="43" t="s">
        <v>42</v>
      </c>
      <c r="X4" s="57">
        <v>1.4999999999999999E-2</v>
      </c>
      <c r="Y4" s="66">
        <f>ROUNDDOWN(IF((O4-N4+1)*K4*X4/365&gt;R4,R4,(O4-N4+1)*K4*X4/365),2)</f>
        <v>7.9</v>
      </c>
      <c r="Z4" s="55">
        <f>R4-Y4</f>
        <v>0</v>
      </c>
      <c r="AA4" s="55"/>
      <c r="AB4" s="43" t="s">
        <v>61</v>
      </c>
    </row>
    <row r="5" spans="1:29" s="35" customFormat="1">
      <c r="A5" s="44"/>
      <c r="B5" s="44"/>
      <c r="C5" s="44"/>
      <c r="D5" s="44"/>
      <c r="E5" s="44"/>
      <c r="F5" s="44"/>
      <c r="G5" s="44"/>
      <c r="H5" s="44"/>
      <c r="I5" s="44"/>
      <c r="J5" s="44"/>
      <c r="K5" s="44"/>
      <c r="L5" s="44"/>
      <c r="M5" s="63"/>
      <c r="N5" s="52"/>
      <c r="O5" s="65">
        <v>45695</v>
      </c>
      <c r="P5" s="53">
        <v>44977</v>
      </c>
      <c r="Q5" s="58">
        <v>0.93</v>
      </c>
      <c r="R5" s="44"/>
      <c r="S5" s="53">
        <v>44977</v>
      </c>
      <c r="T5" s="58">
        <f>(S5-N4)/360*$U$4*$K$4</f>
        <v>0.93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45005</v>
      </c>
      <c r="Q6" s="58">
        <v>2.17</v>
      </c>
      <c r="R6" s="44"/>
      <c r="S6" s="53">
        <v>45005</v>
      </c>
      <c r="T6" s="58">
        <f>(S6-S5)/360*$U$4*$K$4</f>
        <v>2.17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45036</v>
      </c>
      <c r="Q7" s="58">
        <v>2.4024999999999999</v>
      </c>
      <c r="R7" s="44"/>
      <c r="S7" s="53">
        <v>45036</v>
      </c>
      <c r="T7" s="58">
        <f>(S7-S6)*$K$4*U4/360</f>
        <v>2.4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45066</v>
      </c>
      <c r="Q8" s="58">
        <v>2.33</v>
      </c>
      <c r="R8" s="44"/>
      <c r="S8" s="53">
        <v>45066</v>
      </c>
      <c r="T8" s="58">
        <f>(S8-S7)*$K$4*$U$4/360</f>
        <v>2.33</v>
      </c>
      <c r="U8" s="58">
        <f t="shared" ref="U8:U16"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45097</v>
      </c>
      <c r="Q9" s="58">
        <v>2.4024999999999999</v>
      </c>
      <c r="R9" s="44"/>
      <c r="S9" s="53">
        <v>45097</v>
      </c>
      <c r="T9" s="58">
        <f t="shared" ref="T9:T16" si="1">(S9-S8)*$K$4*$U$4/360</f>
        <v>2.4</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45127</v>
      </c>
      <c r="Q10" s="58">
        <v>2.33</v>
      </c>
      <c r="R10" s="44"/>
      <c r="S10" s="53">
        <v>45127</v>
      </c>
      <c r="T10" s="58">
        <f t="shared" si="1"/>
        <v>2.33</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45158</v>
      </c>
      <c r="Q11" s="58">
        <v>2.4024999999999999</v>
      </c>
      <c r="R11" s="44"/>
      <c r="S11" s="53">
        <v>45158</v>
      </c>
      <c r="T11" s="58">
        <f t="shared" si="1"/>
        <v>2.4</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45189</v>
      </c>
      <c r="Q12" s="58">
        <v>2.2799999999999998</v>
      </c>
      <c r="R12" s="44"/>
      <c r="S12" s="53">
        <v>45189</v>
      </c>
      <c r="T12" s="58">
        <f t="shared" si="1"/>
        <v>2.4</v>
      </c>
      <c r="U12" s="58">
        <f t="shared" si="0"/>
        <v>0.12</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45219</v>
      </c>
      <c r="Q13" s="58">
        <v>2.21</v>
      </c>
      <c r="R13" s="44"/>
      <c r="S13" s="53">
        <v>45219</v>
      </c>
      <c r="T13" s="58">
        <f t="shared" si="1"/>
        <v>2.33</v>
      </c>
      <c r="U13" s="58">
        <f t="shared" si="0"/>
        <v>0.12</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45250</v>
      </c>
      <c r="Q14" s="58">
        <v>2.2799999999999998</v>
      </c>
      <c r="R14" s="44"/>
      <c r="S14" s="53">
        <v>45250</v>
      </c>
      <c r="T14" s="58">
        <f t="shared" si="1"/>
        <v>2.4</v>
      </c>
      <c r="U14" s="58">
        <f t="shared" si="0"/>
        <v>0.12</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45280</v>
      </c>
      <c r="Q15" s="58">
        <v>2.21</v>
      </c>
      <c r="R15" s="44"/>
      <c r="S15" s="53">
        <v>45280</v>
      </c>
      <c r="T15" s="58">
        <f t="shared" si="1"/>
        <v>2.33</v>
      </c>
      <c r="U15" s="58">
        <f t="shared" si="0"/>
        <v>0.12</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45311</v>
      </c>
      <c r="Q16" s="58">
        <v>2.2200000000000002</v>
      </c>
      <c r="R16" s="44"/>
      <c r="S16" s="53">
        <v>45311</v>
      </c>
      <c r="T16" s="58">
        <f t="shared" si="1"/>
        <v>2.4</v>
      </c>
      <c r="U16" s="58">
        <f t="shared" si="0"/>
        <v>0.18</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84">
      <c r="A27" s="43">
        <v>2</v>
      </c>
      <c r="B27" s="43" t="str">
        <f>B4</f>
        <v>成都市新美加机械设备制造有限公司</v>
      </c>
      <c r="C27" s="43" t="str">
        <f t="shared" ref="C27:G27" si="2">C4</f>
        <v>成都市新都区市场监督管理局</v>
      </c>
      <c r="D27" s="43" t="str">
        <f t="shared" si="2"/>
        <v>915101147900146920</v>
      </c>
      <c r="E27" s="43" t="str">
        <f t="shared" si="2"/>
        <v>有限责任公司（自然人投资或控股）</v>
      </c>
      <c r="F27" s="43" t="str">
        <f t="shared" si="2"/>
        <v>成都市新都区税务局</v>
      </c>
      <c r="G27" s="43" t="str">
        <f t="shared" si="2"/>
        <v>122555928604中国银行成都新都支行</v>
      </c>
      <c r="H27" s="43" t="s">
        <v>71</v>
      </c>
      <c r="I27" s="43" t="s">
        <v>1566</v>
      </c>
      <c r="J27" s="43" t="s">
        <v>294</v>
      </c>
      <c r="K27" s="43">
        <v>400</v>
      </c>
      <c r="L27" s="43" t="s">
        <v>1569</v>
      </c>
      <c r="M27" s="49" t="s">
        <v>1570</v>
      </c>
      <c r="N27" s="65">
        <v>44980</v>
      </c>
      <c r="O27" s="65">
        <v>45291</v>
      </c>
      <c r="P27" s="43">
        <f>P38-N27</f>
        <v>331</v>
      </c>
      <c r="Q27" s="55">
        <f>SUM(Q28:Q38)</f>
        <v>17.05</v>
      </c>
      <c r="R27" s="66">
        <v>5.13</v>
      </c>
      <c r="S27" s="43"/>
      <c r="T27" s="55">
        <f>SUM(T28:T38)</f>
        <v>17.09</v>
      </c>
      <c r="U27" s="56">
        <v>4.65E-2</v>
      </c>
      <c r="V27" s="50"/>
      <c r="W27" s="43" t="s">
        <v>42</v>
      </c>
      <c r="X27" s="67">
        <v>1.4999999999999999E-2</v>
      </c>
      <c r="Y27" s="43">
        <f>ROUNDDOWN(IF((O27-N27+1)*K27*X27/365&gt;R27,R27,(O27-N27+1)*K27*X27/365),2)</f>
        <v>5.12</v>
      </c>
      <c r="Z27" s="55">
        <f>R27-Y27</f>
        <v>0.01</v>
      </c>
      <c r="AA27" s="55" t="s">
        <v>43</v>
      </c>
      <c r="AB27" s="43" t="s">
        <v>61</v>
      </c>
    </row>
    <row r="28" spans="1:28" s="35" customFormat="1">
      <c r="A28" s="44"/>
      <c r="B28" s="44"/>
      <c r="C28" s="44"/>
      <c r="D28" s="44"/>
      <c r="E28" s="44"/>
      <c r="F28" s="44"/>
      <c r="G28" s="44"/>
      <c r="H28" s="44"/>
      <c r="I28" s="44"/>
      <c r="J28" s="44"/>
      <c r="K28" s="44"/>
      <c r="L28" s="44"/>
      <c r="M28" s="44"/>
      <c r="N28" s="52"/>
      <c r="O28" s="65">
        <v>45710</v>
      </c>
      <c r="P28" s="53">
        <v>45005</v>
      </c>
      <c r="Q28" s="58">
        <v>1.29</v>
      </c>
      <c r="R28" s="44"/>
      <c r="S28" s="53">
        <v>45005</v>
      </c>
      <c r="T28" s="58">
        <f>(S28-N27)/360*$U$27*$K$27</f>
        <v>1.29</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45036</v>
      </c>
      <c r="Q29" s="58">
        <v>1.6</v>
      </c>
      <c r="R29" s="44"/>
      <c r="S29" s="53">
        <v>45036</v>
      </c>
      <c r="T29" s="58">
        <f t="shared" ref="T29:T38" si="3">(S29-S28)*$K$27*$U$27/360</f>
        <v>1.6</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45066</v>
      </c>
      <c r="Q30" s="58">
        <v>1.55</v>
      </c>
      <c r="R30" s="44"/>
      <c r="S30" s="53">
        <v>45066</v>
      </c>
      <c r="T30" s="58">
        <f t="shared" si="3"/>
        <v>1.55</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45097</v>
      </c>
      <c r="Q31" s="58">
        <v>1.6</v>
      </c>
      <c r="R31" s="44"/>
      <c r="S31" s="53">
        <v>45097</v>
      </c>
      <c r="T31" s="58">
        <f t="shared" si="3"/>
        <v>1.6</v>
      </c>
      <c r="U31" s="58">
        <f t="shared" ref="U31:U38"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45127</v>
      </c>
      <c r="Q32" s="58">
        <v>1.55</v>
      </c>
      <c r="R32" s="44"/>
      <c r="S32" s="53">
        <v>45127</v>
      </c>
      <c r="T32" s="58">
        <f t="shared" si="3"/>
        <v>1.55</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45158</v>
      </c>
      <c r="Q33" s="58">
        <v>1.6</v>
      </c>
      <c r="R33" s="44"/>
      <c r="S33" s="53">
        <v>45158</v>
      </c>
      <c r="T33" s="58">
        <f t="shared" si="3"/>
        <v>1.6</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45189</v>
      </c>
      <c r="Q34" s="58">
        <v>1.6</v>
      </c>
      <c r="R34" s="44"/>
      <c r="S34" s="53">
        <v>45189</v>
      </c>
      <c r="T34" s="58">
        <f t="shared" si="3"/>
        <v>1.6</v>
      </c>
      <c r="U34" s="58">
        <f t="shared" si="4"/>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45219</v>
      </c>
      <c r="Q35" s="58">
        <v>1.55</v>
      </c>
      <c r="R35" s="44"/>
      <c r="S35" s="53">
        <v>45219</v>
      </c>
      <c r="T35" s="58">
        <f t="shared" si="3"/>
        <v>1.55</v>
      </c>
      <c r="U35" s="58">
        <f t="shared" si="4"/>
        <v>0</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45250</v>
      </c>
      <c r="Q36" s="58">
        <v>1.6</v>
      </c>
      <c r="R36" s="44"/>
      <c r="S36" s="53">
        <v>45250</v>
      </c>
      <c r="T36" s="58">
        <f t="shared" si="3"/>
        <v>1.6</v>
      </c>
      <c r="U36" s="58">
        <f t="shared" si="4"/>
        <v>0</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45280</v>
      </c>
      <c r="Q37" s="58">
        <v>1.55</v>
      </c>
      <c r="R37" s="44"/>
      <c r="S37" s="53">
        <v>45280</v>
      </c>
      <c r="T37" s="58">
        <f t="shared" si="3"/>
        <v>1.55</v>
      </c>
      <c r="U37" s="58">
        <f t="shared" si="4"/>
        <v>0</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45311</v>
      </c>
      <c r="Q38" s="58">
        <v>1.56</v>
      </c>
      <c r="R38" s="44"/>
      <c r="S38" s="53">
        <v>45311</v>
      </c>
      <c r="T38" s="58">
        <f t="shared" si="3"/>
        <v>1.6</v>
      </c>
      <c r="U38" s="58">
        <f t="shared" si="4"/>
        <v>0.04</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56" hidden="1">
      <c r="A49" s="43">
        <v>3</v>
      </c>
      <c r="B49" s="43" t="str">
        <f>B27</f>
        <v>成都市新美加机械设备制造有限公司</v>
      </c>
      <c r="C49" s="43" t="str">
        <f t="shared" ref="C49:G49" si="5">C27</f>
        <v>成都市新都区市场监督管理局</v>
      </c>
      <c r="D49" s="43" t="str">
        <f t="shared" si="5"/>
        <v>915101147900146920</v>
      </c>
      <c r="E49" s="43" t="str">
        <f t="shared" si="5"/>
        <v>有限责任公司（自然人投资或控股）</v>
      </c>
      <c r="F49" s="43" t="str">
        <f t="shared" si="5"/>
        <v>成都市新都区税务局</v>
      </c>
      <c r="G49" s="43" t="str">
        <f t="shared" si="5"/>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56" hidden="1">
      <c r="A71" s="43">
        <v>4</v>
      </c>
      <c r="B71" s="43" t="str">
        <f>B49</f>
        <v>成都市新美加机械设备制造有限公司</v>
      </c>
      <c r="C71" s="43" t="str">
        <f t="shared" ref="C71:G71" si="6">C49</f>
        <v>成都市新都区市场监督管理局</v>
      </c>
      <c r="D71" s="43" t="str">
        <f t="shared" si="6"/>
        <v>915101147900146920</v>
      </c>
      <c r="E71" s="43" t="str">
        <f t="shared" si="6"/>
        <v>有限责任公司（自然人投资或控股）</v>
      </c>
      <c r="F71" s="43" t="str">
        <f t="shared" si="6"/>
        <v>成都市新都区税务局</v>
      </c>
      <c r="G71" s="43" t="str">
        <f t="shared" si="6"/>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56" hidden="1">
      <c r="A93" s="43">
        <v>5</v>
      </c>
      <c r="B93" s="43" t="str">
        <f>B71</f>
        <v>成都市新美加机械设备制造有限公司</v>
      </c>
      <c r="C93" s="43" t="str">
        <f t="shared" ref="C93:G93" si="7">C71</f>
        <v>成都市新都区市场监督管理局</v>
      </c>
      <c r="D93" s="43" t="str">
        <f t="shared" si="7"/>
        <v>915101147900146920</v>
      </c>
      <c r="E93" s="43" t="str">
        <f t="shared" si="7"/>
        <v>有限责任公司（自然人投资或控股）</v>
      </c>
      <c r="F93" s="43" t="str">
        <f t="shared" si="7"/>
        <v>成都市新都区税务局</v>
      </c>
      <c r="G93" s="43" t="str">
        <f t="shared" si="7"/>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1000</v>
      </c>
      <c r="L115" s="43"/>
      <c r="M115" s="43"/>
      <c r="N115" s="50"/>
      <c r="O115" s="50"/>
      <c r="P115" s="43"/>
      <c r="Q115" s="43"/>
      <c r="R115" s="43"/>
      <c r="S115" s="43"/>
      <c r="T115" s="43"/>
      <c r="U115" s="43"/>
      <c r="V115" s="43"/>
      <c r="W115" s="43"/>
      <c r="X115" s="43"/>
      <c r="Y115" s="43">
        <f>Y93+Y71+Y49+Y27++Y4</f>
        <v>13.02</v>
      </c>
      <c r="Z115" s="43"/>
      <c r="AA115" s="43"/>
      <c r="AB115" s="43"/>
    </row>
    <row r="116" spans="1:28">
      <c r="I116" s="36" t="s">
        <v>49</v>
      </c>
      <c r="K116" s="36">
        <f>IF(K115&gt;3000,K117,K115)</f>
        <v>1000</v>
      </c>
    </row>
    <row r="117" spans="1:28" hidden="1">
      <c r="K117" s="36">
        <f>IF(K116&gt;3000,K118,K116)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AC117"/>
  <sheetViews>
    <sheetView topLeftCell="D1" workbookViewId="0">
      <pane ySplit="3" topLeftCell="A4" activePane="bottomLeft" state="frozen"/>
      <selection pane="bottomLeft" activeCell="J8" sqref="J8"/>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成都市明峰光学仪器有限公司审计明细表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98">
      <c r="A4" s="43">
        <v>1</v>
      </c>
      <c r="B4" s="43" t="s">
        <v>657</v>
      </c>
      <c r="C4" s="43" t="s">
        <v>1547</v>
      </c>
      <c r="D4" s="43" t="s">
        <v>1571</v>
      </c>
      <c r="E4" s="43" t="s">
        <v>246</v>
      </c>
      <c r="F4" s="43" t="s">
        <v>1549</v>
      </c>
      <c r="G4" s="43" t="s">
        <v>1572</v>
      </c>
      <c r="H4" s="43" t="s">
        <v>958</v>
      </c>
      <c r="I4" s="43" t="s">
        <v>1573</v>
      </c>
      <c r="J4" s="43" t="s">
        <v>168</v>
      </c>
      <c r="K4" s="43">
        <v>300</v>
      </c>
      <c r="L4" s="43" t="s">
        <v>1574</v>
      </c>
      <c r="M4" s="49" t="s">
        <v>1575</v>
      </c>
      <c r="N4" s="65">
        <v>44980</v>
      </c>
      <c r="O4" s="65">
        <v>45291</v>
      </c>
      <c r="P4" s="43">
        <f>P15-N4</f>
        <v>331</v>
      </c>
      <c r="Q4" s="55">
        <f>SUM(Q5:Q15)</f>
        <v>11.41</v>
      </c>
      <c r="R4" s="55">
        <v>2.5099999999999998</v>
      </c>
      <c r="S4" s="43"/>
      <c r="T4" s="55">
        <f>SUM(T5:T26)</f>
        <v>11.4</v>
      </c>
      <c r="U4" s="56">
        <v>4.1300000000000003E-2</v>
      </c>
      <c r="V4" s="50"/>
      <c r="W4" s="43" t="s">
        <v>42</v>
      </c>
      <c r="X4" s="57">
        <v>0.01</v>
      </c>
      <c r="Y4" s="66">
        <f>ROUNDDOWN(IF((O4-N4+1)*K4*X4/365&gt;R4,R4,(O4-N4+1)*K4*X4/365),2)</f>
        <v>2.5099999999999998</v>
      </c>
      <c r="Z4" s="55">
        <f>R4-Y4</f>
        <v>0</v>
      </c>
      <c r="AA4" s="55"/>
      <c r="AB4" s="43" t="s">
        <v>61</v>
      </c>
    </row>
    <row r="5" spans="1:29" s="35" customFormat="1">
      <c r="A5" s="44"/>
      <c r="B5" s="44"/>
      <c r="C5" s="44"/>
      <c r="D5" s="44"/>
      <c r="E5" s="44"/>
      <c r="F5" s="44"/>
      <c r="G5" s="44"/>
      <c r="H5" s="44"/>
      <c r="I5" s="44"/>
      <c r="J5" s="44"/>
      <c r="K5" s="44"/>
      <c r="L5" s="44"/>
      <c r="M5" s="63"/>
      <c r="N5" s="52"/>
      <c r="O5" s="65">
        <v>45344</v>
      </c>
      <c r="P5" s="53">
        <v>45005</v>
      </c>
      <c r="Q5" s="58">
        <v>0.86</v>
      </c>
      <c r="R5" s="44"/>
      <c r="S5" s="53">
        <v>45005</v>
      </c>
      <c r="T5" s="58">
        <f>(S5-N4)/360*$U$4*$K$4</f>
        <v>0.86</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45036</v>
      </c>
      <c r="Q6" s="58">
        <v>1.07</v>
      </c>
      <c r="R6" s="44"/>
      <c r="S6" s="53">
        <v>45036</v>
      </c>
      <c r="T6" s="58">
        <f>(S6-S5)/360*$U$4*$K$4</f>
        <v>1.07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45066</v>
      </c>
      <c r="Q7" s="58">
        <v>1.0325</v>
      </c>
      <c r="R7" s="44"/>
      <c r="S7" s="53">
        <v>45066</v>
      </c>
      <c r="T7" s="58">
        <f>(S7-S6)*$K$4*U4/360</f>
        <v>1.03</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45097</v>
      </c>
      <c r="Q8" s="58">
        <v>1.07</v>
      </c>
      <c r="R8" s="44"/>
      <c r="S8" s="53">
        <v>45097</v>
      </c>
      <c r="T8" s="58">
        <f>(S8-S7)*$K$4*$U$4/360</f>
        <v>1.07</v>
      </c>
      <c r="U8" s="58">
        <f t="shared" ref="U8:U15"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45127</v>
      </c>
      <c r="Q9" s="58">
        <v>1.0325</v>
      </c>
      <c r="R9" s="44"/>
      <c r="S9" s="53">
        <v>45127</v>
      </c>
      <c r="T9" s="58">
        <f t="shared" ref="T9:T15" si="1">(S9-S8)*$K$4*$U$4/360</f>
        <v>1.03</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45158</v>
      </c>
      <c r="Q10" s="58">
        <v>1.07</v>
      </c>
      <c r="R10" s="44"/>
      <c r="S10" s="53">
        <v>45158</v>
      </c>
      <c r="T10" s="58">
        <f t="shared" si="1"/>
        <v>1.07</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45189</v>
      </c>
      <c r="Q11" s="58">
        <v>1.07</v>
      </c>
      <c r="R11" s="44"/>
      <c r="S11" s="53">
        <v>45189</v>
      </c>
      <c r="T11" s="58">
        <f t="shared" si="1"/>
        <v>1.07</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45219</v>
      </c>
      <c r="Q12" s="58">
        <v>1.0325</v>
      </c>
      <c r="R12" s="44"/>
      <c r="S12" s="53">
        <v>45219</v>
      </c>
      <c r="T12" s="58">
        <f t="shared" si="1"/>
        <v>1.03</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45250</v>
      </c>
      <c r="Q13" s="58">
        <v>1.07</v>
      </c>
      <c r="R13" s="44"/>
      <c r="S13" s="53">
        <v>45250</v>
      </c>
      <c r="T13" s="58">
        <f t="shared" si="1"/>
        <v>1.07</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45280</v>
      </c>
      <c r="Q14" s="58">
        <v>1.0325</v>
      </c>
      <c r="R14" s="44"/>
      <c r="S14" s="53">
        <v>45280</v>
      </c>
      <c r="T14" s="58">
        <f t="shared" si="1"/>
        <v>1.03</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45311</v>
      </c>
      <c r="Q15" s="58">
        <v>1.07</v>
      </c>
      <c r="R15" s="44"/>
      <c r="S15" s="53">
        <v>45311</v>
      </c>
      <c r="T15" s="58">
        <f t="shared" si="1"/>
        <v>1.07</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98" hidden="1">
      <c r="A27" s="43">
        <v>2</v>
      </c>
      <c r="B27" s="43" t="str">
        <f>B4</f>
        <v>成都市明峰光学仪器有限公司</v>
      </c>
      <c r="C27" s="43" t="str">
        <f t="shared" ref="C27:G27" si="2">C4</f>
        <v>成都市新都区市场监督管理局</v>
      </c>
      <c r="D27" s="43" t="str">
        <f t="shared" si="2"/>
        <v>91510114327490742B</v>
      </c>
      <c r="E27" s="43" t="str">
        <f t="shared" si="2"/>
        <v>有限责任公司（自然人投资或控股）</v>
      </c>
      <c r="F27" s="43" t="str">
        <f t="shared" si="2"/>
        <v>成都市新都区税务局</v>
      </c>
      <c r="G27" s="43" t="str">
        <f t="shared" si="2"/>
        <v>4402035309000039679中国工商银行成都新都西南石油大学支行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98" hidden="1">
      <c r="A49" s="43">
        <v>3</v>
      </c>
      <c r="B49" s="43" t="str">
        <f>B27</f>
        <v>成都市明峰光学仪器有限公司</v>
      </c>
      <c r="C49" s="43" t="str">
        <f t="shared" ref="C49:G49" si="3">C27</f>
        <v>成都市新都区市场监督管理局</v>
      </c>
      <c r="D49" s="43" t="str">
        <f t="shared" si="3"/>
        <v>91510114327490742B</v>
      </c>
      <c r="E49" s="43" t="str">
        <f t="shared" si="3"/>
        <v>有限责任公司（自然人投资或控股）</v>
      </c>
      <c r="F49" s="43" t="str">
        <f t="shared" si="3"/>
        <v>成都市新都区税务局</v>
      </c>
      <c r="G49" s="43" t="str">
        <f t="shared" si="3"/>
        <v>4402035309000039679中国工商银行成都新都西南石油大学支行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98" hidden="1">
      <c r="A71" s="43">
        <v>4</v>
      </c>
      <c r="B71" s="43" t="str">
        <f>B49</f>
        <v>成都市明峰光学仪器有限公司</v>
      </c>
      <c r="C71" s="43" t="str">
        <f t="shared" ref="C71:G71" si="4">C49</f>
        <v>成都市新都区市场监督管理局</v>
      </c>
      <c r="D71" s="43" t="str">
        <f t="shared" si="4"/>
        <v>91510114327490742B</v>
      </c>
      <c r="E71" s="43" t="str">
        <f t="shared" si="4"/>
        <v>有限责任公司（自然人投资或控股）</v>
      </c>
      <c r="F71" s="43" t="str">
        <f t="shared" si="4"/>
        <v>成都市新都区税务局</v>
      </c>
      <c r="G71" s="43" t="str">
        <f t="shared" si="4"/>
        <v>4402035309000039679中国工商银行成都新都西南石油大学支行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98" hidden="1">
      <c r="A93" s="43">
        <v>5</v>
      </c>
      <c r="B93" s="43" t="str">
        <f>B71</f>
        <v>成都市明峰光学仪器有限公司</v>
      </c>
      <c r="C93" s="43" t="str">
        <f t="shared" ref="C93:G93" si="5">C71</f>
        <v>成都市新都区市场监督管理局</v>
      </c>
      <c r="D93" s="43" t="str">
        <f t="shared" si="5"/>
        <v>91510114327490742B</v>
      </c>
      <c r="E93" s="43" t="str">
        <f t="shared" si="5"/>
        <v>有限责任公司（自然人投资或控股）</v>
      </c>
      <c r="F93" s="43" t="str">
        <f t="shared" si="5"/>
        <v>成都市新都区税务局</v>
      </c>
      <c r="G93" s="43" t="str">
        <f t="shared" si="5"/>
        <v>4402035309000039679中国工商银行成都新都西南石油大学支行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v>
      </c>
      <c r="L115" s="43"/>
      <c r="M115" s="43"/>
      <c r="N115" s="50"/>
      <c r="O115" s="50"/>
      <c r="P115" s="43"/>
      <c r="Q115" s="43"/>
      <c r="R115" s="43"/>
      <c r="S115" s="43"/>
      <c r="T115" s="43"/>
      <c r="U115" s="43"/>
      <c r="V115" s="43"/>
      <c r="W115" s="43"/>
      <c r="X115" s="43"/>
      <c r="Y115" s="43">
        <f>Y93+Y71+Y49+Y27++Y4</f>
        <v>2.5099999999999998</v>
      </c>
      <c r="Z115" s="43"/>
      <c r="AA115" s="43"/>
      <c r="AB115" s="43"/>
    </row>
    <row r="116" spans="1:28">
      <c r="I116" s="36" t="s">
        <v>49</v>
      </c>
      <c r="K116" s="36">
        <f>IF(K115&gt;3000,K117,K115)</f>
        <v>300</v>
      </c>
    </row>
    <row r="117" spans="1:28" hidden="1">
      <c r="K117" s="36">
        <f>IF(K116&gt;3000,K118,K116)</f>
        <v>300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AC107"/>
  <sheetViews>
    <sheetView topLeftCell="H1" zoomScale="70" zoomScaleNormal="70" workbookViewId="0">
      <pane ySplit="3" topLeftCell="A33" activePane="bottomLeft" state="frozen"/>
      <selection pane="bottomLeft" activeCell="N39" sqref="N39:AB39"/>
    </sheetView>
  </sheetViews>
  <sheetFormatPr defaultColWidth="9" defaultRowHeight="14"/>
  <cols>
    <col min="1" max="6" width="9" style="36"/>
    <col min="7" max="7" width="9" style="36" hidden="1" customWidth="1"/>
    <col min="8" max="12" width="9" style="36"/>
    <col min="13" max="13" width="10.08203125" style="36" customWidth="1"/>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四川能投新都分布式能源有限公司审计明细表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714</v>
      </c>
      <c r="C4" s="43" t="s">
        <v>1547</v>
      </c>
      <c r="D4" s="43" t="s">
        <v>1576</v>
      </c>
      <c r="E4" s="43" t="s">
        <v>121</v>
      </c>
      <c r="F4" s="43" t="s">
        <v>1549</v>
      </c>
      <c r="G4" s="43" t="s">
        <v>1229</v>
      </c>
      <c r="H4" s="43" t="s">
        <v>71</v>
      </c>
      <c r="I4" s="43" t="s">
        <v>450</v>
      </c>
      <c r="J4" s="43" t="s">
        <v>73</v>
      </c>
      <c r="K4" s="43">
        <v>300</v>
      </c>
      <c r="L4" s="43" t="s">
        <v>1577</v>
      </c>
      <c r="M4" s="43" t="s">
        <v>1578</v>
      </c>
      <c r="N4" s="65">
        <v>44935</v>
      </c>
      <c r="O4" s="65">
        <v>45280</v>
      </c>
      <c r="P4" s="43">
        <f>P15-N4</f>
        <v>345</v>
      </c>
      <c r="Q4" s="55">
        <f>SUM(Q5:Q16)</f>
        <v>10.67</v>
      </c>
      <c r="R4" s="55">
        <v>4.25</v>
      </c>
      <c r="S4" s="43"/>
      <c r="T4" s="55">
        <f>SUM(T5:T16)</f>
        <v>10.67</v>
      </c>
      <c r="U4" s="56">
        <v>3.6999999999999998E-2</v>
      </c>
      <c r="V4" s="50"/>
      <c r="W4" s="43" t="s">
        <v>1579</v>
      </c>
      <c r="X4" s="57">
        <v>1.4999999999999999E-2</v>
      </c>
      <c r="Y4" s="43">
        <f>ROUNDDOWN(IF((O4-N4+1)*K4*X4/365&gt;R4,R4,(O4-N4+1)*K4*X4/365),2)</f>
        <v>4.25</v>
      </c>
      <c r="Z4" s="55">
        <f>R4-Y4</f>
        <v>0</v>
      </c>
      <c r="AA4" s="55"/>
      <c r="AB4" s="43" t="s">
        <v>61</v>
      </c>
    </row>
    <row r="5" spans="1:29" s="35" customFormat="1">
      <c r="A5" s="44"/>
      <c r="B5" s="44"/>
      <c r="C5" s="44"/>
      <c r="D5" s="44"/>
      <c r="E5" s="44"/>
      <c r="F5" s="44"/>
      <c r="G5" s="44"/>
      <c r="H5" s="44"/>
      <c r="I5" s="44"/>
      <c r="J5" s="44"/>
      <c r="K5" s="44"/>
      <c r="L5" s="44"/>
      <c r="M5" s="63"/>
      <c r="N5" s="52"/>
      <c r="O5" s="65">
        <v>45299</v>
      </c>
      <c r="P5" s="53">
        <v>44978</v>
      </c>
      <c r="Q5" s="58">
        <v>1.33</v>
      </c>
      <c r="R5" s="44"/>
      <c r="S5" s="53">
        <v>44978</v>
      </c>
      <c r="T5" s="58">
        <f>(S5-N4)/360*$U$4*$K$4</f>
        <v>1.33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45006</v>
      </c>
      <c r="Q6" s="58">
        <v>0.86</v>
      </c>
      <c r="R6" s="44"/>
      <c r="S6" s="53">
        <v>45006</v>
      </c>
      <c r="T6" s="58">
        <f>(S6-S5)/360*$U$4*$K$4</f>
        <v>0.86</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45037</v>
      </c>
      <c r="Q7" s="58">
        <v>0.96</v>
      </c>
      <c r="R7" s="44"/>
      <c r="S7" s="53">
        <v>45037</v>
      </c>
      <c r="T7" s="58">
        <f t="shared" ref="T7:T15" si="0">(S7-S6)/360*$U$4*$K$4</f>
        <v>0.96</v>
      </c>
      <c r="U7" s="58">
        <f t="shared" ref="U7:U16" si="1">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45067</v>
      </c>
      <c r="Q8" s="58">
        <v>0.93</v>
      </c>
      <c r="R8" s="44"/>
      <c r="S8" s="53">
        <v>45067</v>
      </c>
      <c r="T8" s="58">
        <f t="shared" si="0"/>
        <v>0.93</v>
      </c>
      <c r="U8" s="58">
        <f t="shared" si="1"/>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45098</v>
      </c>
      <c r="Q9" s="58">
        <v>0.96</v>
      </c>
      <c r="R9" s="44"/>
      <c r="S9" s="53">
        <v>45098</v>
      </c>
      <c r="T9" s="58">
        <f t="shared" si="0"/>
        <v>0.96</v>
      </c>
      <c r="U9" s="58">
        <f t="shared" si="1"/>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45128</v>
      </c>
      <c r="Q10" s="58">
        <v>0.93</v>
      </c>
      <c r="R10" s="44"/>
      <c r="S10" s="53">
        <v>45128</v>
      </c>
      <c r="T10" s="58">
        <f t="shared" si="0"/>
        <v>0.93</v>
      </c>
      <c r="U10" s="58">
        <f t="shared" si="1"/>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45159</v>
      </c>
      <c r="Q11" s="58">
        <v>0.96</v>
      </c>
      <c r="R11" s="44"/>
      <c r="S11" s="53">
        <v>45159</v>
      </c>
      <c r="T11" s="58">
        <f t="shared" si="0"/>
        <v>0.96</v>
      </c>
      <c r="U11" s="58">
        <f t="shared" si="1"/>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45190</v>
      </c>
      <c r="Q12" s="58">
        <v>0.96</v>
      </c>
      <c r="R12" s="44"/>
      <c r="S12" s="53">
        <v>45190</v>
      </c>
      <c r="T12" s="58">
        <f t="shared" si="0"/>
        <v>0.96</v>
      </c>
      <c r="U12" s="58">
        <f t="shared" si="1"/>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45220</v>
      </c>
      <c r="Q13" s="58">
        <v>0.93</v>
      </c>
      <c r="R13" s="44"/>
      <c r="S13" s="53">
        <v>45220</v>
      </c>
      <c r="T13" s="58">
        <f t="shared" si="0"/>
        <v>0.93</v>
      </c>
      <c r="U13" s="58">
        <f t="shared" si="1"/>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45251</v>
      </c>
      <c r="Q14" s="58">
        <v>0.96</v>
      </c>
      <c r="R14" s="44"/>
      <c r="S14" s="53">
        <v>45251</v>
      </c>
      <c r="T14" s="58">
        <f t="shared" si="0"/>
        <v>0.96</v>
      </c>
      <c r="U14" s="58">
        <f t="shared" si="1"/>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45280</v>
      </c>
      <c r="Q15" s="58">
        <v>0.89</v>
      </c>
      <c r="R15" s="44"/>
      <c r="S15" s="53">
        <v>45280</v>
      </c>
      <c r="T15" s="58">
        <f t="shared" si="0"/>
        <v>0.89</v>
      </c>
      <c r="U15" s="58">
        <f t="shared" si="1"/>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f t="shared" si="1"/>
        <v>0</v>
      </c>
      <c r="V16" s="44"/>
      <c r="W16" s="44"/>
      <c r="X16" s="44"/>
      <c r="Y16" s="44"/>
      <c r="Z16" s="44"/>
      <c r="AA16" s="44"/>
      <c r="AB16" s="44"/>
    </row>
    <row r="17" spans="1:28" s="34" customFormat="1" ht="126">
      <c r="A17" s="43">
        <v>2</v>
      </c>
      <c r="B17" s="43" t="str">
        <f t="shared" ref="B17:G17" si="2">B4</f>
        <v>四川能投新都分布式能源有限公司</v>
      </c>
      <c r="C17" s="43" t="str">
        <f t="shared" si="2"/>
        <v>成都市新都区市场监督管理局</v>
      </c>
      <c r="D17" s="43" t="str">
        <f t="shared" si="2"/>
        <v>915101143994217704</v>
      </c>
      <c r="E17" s="43" t="str">
        <f t="shared" si="2"/>
        <v>其他有限责任公司</v>
      </c>
      <c r="F17" s="43" t="str">
        <f t="shared" si="2"/>
        <v>成都市新都区税务局</v>
      </c>
      <c r="G17" s="43" t="str">
        <f t="shared" si="2"/>
        <v>收款账号：511610018010210321008
开户行：交通银行成都双流棠湖支行</v>
      </c>
      <c r="H17" s="43" t="s">
        <v>71</v>
      </c>
      <c r="I17" s="43" t="s">
        <v>450</v>
      </c>
      <c r="J17" s="43" t="s">
        <v>1527</v>
      </c>
      <c r="K17" s="43">
        <v>400</v>
      </c>
      <c r="L17" s="43" t="s">
        <v>1577</v>
      </c>
      <c r="M17" s="43" t="s">
        <v>1580</v>
      </c>
      <c r="N17" s="65">
        <v>44965</v>
      </c>
      <c r="O17" s="65">
        <v>45280</v>
      </c>
      <c r="P17" s="43">
        <f>P27-N17</f>
        <v>315</v>
      </c>
      <c r="Q17" s="55">
        <f>SUM(Q18:Q29)</f>
        <v>12.92</v>
      </c>
      <c r="R17" s="55">
        <v>5.18</v>
      </c>
      <c r="S17" s="43"/>
      <c r="T17" s="55">
        <f>SUM(T18:T29)</f>
        <v>12.92</v>
      </c>
      <c r="U17" s="56">
        <v>3.6999999999999998E-2</v>
      </c>
      <c r="V17" s="50"/>
      <c r="W17" s="43" t="s">
        <v>1581</v>
      </c>
      <c r="X17" s="57">
        <v>1.4999999999999999E-2</v>
      </c>
      <c r="Y17" s="43">
        <f>ROUNDDOWN(IF((O17-N17+1)*K17*X17/365&gt;R17,R17,(O17-N17+1)*K17*X17/365),2)</f>
        <v>5.18</v>
      </c>
      <c r="Z17" s="55">
        <f>R17-Y17</f>
        <v>0</v>
      </c>
      <c r="AA17" s="55"/>
      <c r="AB17" s="43" t="s">
        <v>61</v>
      </c>
    </row>
    <row r="18" spans="1:28" s="35" customFormat="1">
      <c r="A18" s="44"/>
      <c r="B18" s="44"/>
      <c r="C18" s="44"/>
      <c r="D18" s="44"/>
      <c r="E18" s="44"/>
      <c r="F18" s="44"/>
      <c r="G18" s="44"/>
      <c r="H18" s="44"/>
      <c r="I18" s="44"/>
      <c r="J18" s="44"/>
      <c r="K18" s="44"/>
      <c r="L18" s="44"/>
      <c r="M18" s="44"/>
      <c r="N18" s="52"/>
      <c r="O18" s="65">
        <v>45299</v>
      </c>
      <c r="P18" s="53">
        <v>45006</v>
      </c>
      <c r="Q18" s="58">
        <v>1.69</v>
      </c>
      <c r="R18" s="44"/>
      <c r="S18" s="53">
        <v>45006</v>
      </c>
      <c r="T18" s="58">
        <f>(S18-N17)/360*$U$17*$K$17</f>
        <v>1.69</v>
      </c>
      <c r="U18" s="58">
        <f>T18-Q18</f>
        <v>0</v>
      </c>
      <c r="V18" s="52"/>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v>45037</v>
      </c>
      <c r="Q19" s="58">
        <v>1.27</v>
      </c>
      <c r="R19" s="44"/>
      <c r="S19" s="53">
        <v>45037</v>
      </c>
      <c r="T19" s="58">
        <f>(S19-S18)/360*$U$17*$K$17</f>
        <v>1.27</v>
      </c>
      <c r="U19" s="58">
        <f>T19-Q19</f>
        <v>0</v>
      </c>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v>45067</v>
      </c>
      <c r="Q20" s="58">
        <v>1.23</v>
      </c>
      <c r="R20" s="44"/>
      <c r="S20" s="53">
        <v>45067</v>
      </c>
      <c r="T20" s="58">
        <f t="shared" ref="T20:T27" si="3">(S20-S19)/360*$U$17*$K$17</f>
        <v>1.23</v>
      </c>
      <c r="U20" s="58">
        <f t="shared" ref="U20:U29" si="4">T20-Q20</f>
        <v>0</v>
      </c>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v>45098</v>
      </c>
      <c r="Q21" s="58">
        <v>1.27</v>
      </c>
      <c r="R21" s="44"/>
      <c r="S21" s="53">
        <v>45098</v>
      </c>
      <c r="T21" s="58">
        <f t="shared" si="3"/>
        <v>1.27</v>
      </c>
      <c r="U21" s="58">
        <f t="shared" si="4"/>
        <v>0</v>
      </c>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v>45128</v>
      </c>
      <c r="Q22" s="58">
        <v>1.23</v>
      </c>
      <c r="R22" s="44"/>
      <c r="S22" s="53">
        <v>45128</v>
      </c>
      <c r="T22" s="58">
        <f t="shared" si="3"/>
        <v>1.23</v>
      </c>
      <c r="U22" s="58">
        <f t="shared" si="4"/>
        <v>0</v>
      </c>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v>45159</v>
      </c>
      <c r="Q23" s="58">
        <v>1.27</v>
      </c>
      <c r="R23" s="44"/>
      <c r="S23" s="53">
        <v>45159</v>
      </c>
      <c r="T23" s="58">
        <f t="shared" si="3"/>
        <v>1.27</v>
      </c>
      <c r="U23" s="58">
        <f t="shared" si="4"/>
        <v>0</v>
      </c>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v>45190</v>
      </c>
      <c r="Q24" s="58">
        <v>1.27</v>
      </c>
      <c r="R24" s="44"/>
      <c r="S24" s="53">
        <v>45190</v>
      </c>
      <c r="T24" s="58">
        <f t="shared" si="3"/>
        <v>1.27</v>
      </c>
      <c r="U24" s="58">
        <f t="shared" si="4"/>
        <v>0</v>
      </c>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v>45220</v>
      </c>
      <c r="Q25" s="58">
        <v>1.23</v>
      </c>
      <c r="R25" s="44"/>
      <c r="S25" s="53">
        <v>45220</v>
      </c>
      <c r="T25" s="58">
        <f t="shared" si="3"/>
        <v>1.23</v>
      </c>
      <c r="U25" s="58">
        <f t="shared" si="4"/>
        <v>0</v>
      </c>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v>45251</v>
      </c>
      <c r="Q26" s="58">
        <v>1.27</v>
      </c>
      <c r="R26" s="44"/>
      <c r="S26" s="53">
        <v>45251</v>
      </c>
      <c r="T26" s="58">
        <f t="shared" si="3"/>
        <v>1.27</v>
      </c>
      <c r="U26" s="58">
        <f t="shared" si="4"/>
        <v>0</v>
      </c>
      <c r="V26" s="44"/>
      <c r="W26" s="44"/>
      <c r="X26" s="44"/>
      <c r="Y26" s="44"/>
      <c r="Z26" s="44"/>
      <c r="AA26" s="44"/>
      <c r="AB26" s="44"/>
    </row>
    <row r="27" spans="1:28" s="35" customFormat="1">
      <c r="A27" s="44"/>
      <c r="B27" s="44"/>
      <c r="C27" s="44"/>
      <c r="D27" s="44"/>
      <c r="E27" s="44"/>
      <c r="F27" s="44"/>
      <c r="G27" s="44"/>
      <c r="H27" s="44"/>
      <c r="I27" s="44"/>
      <c r="J27" s="44"/>
      <c r="K27" s="44"/>
      <c r="L27" s="44"/>
      <c r="M27" s="44"/>
      <c r="N27" s="52"/>
      <c r="O27" s="52"/>
      <c r="P27" s="53">
        <v>45280</v>
      </c>
      <c r="Q27" s="58">
        <v>1.19</v>
      </c>
      <c r="R27" s="44"/>
      <c r="S27" s="53">
        <v>45280</v>
      </c>
      <c r="T27" s="58">
        <f t="shared" si="3"/>
        <v>1.19</v>
      </c>
      <c r="U27" s="58">
        <f t="shared" si="4"/>
        <v>0</v>
      </c>
      <c r="V27" s="44"/>
      <c r="W27" s="44"/>
      <c r="X27" s="44"/>
      <c r="Y27" s="44"/>
      <c r="Z27" s="44"/>
      <c r="AA27" s="44"/>
      <c r="AB27" s="44"/>
    </row>
    <row r="28" spans="1:28" s="35" customFormat="1">
      <c r="A28" s="44"/>
      <c r="B28" s="44"/>
      <c r="C28" s="44"/>
      <c r="D28" s="44"/>
      <c r="E28" s="44"/>
      <c r="F28" s="44"/>
      <c r="G28" s="44"/>
      <c r="H28" s="44"/>
      <c r="I28" s="44"/>
      <c r="J28" s="44"/>
      <c r="K28" s="44"/>
      <c r="L28" s="44"/>
      <c r="M28" s="44"/>
      <c r="N28" s="52"/>
      <c r="O28" s="52"/>
      <c r="P28" s="53"/>
      <c r="Q28" s="58"/>
      <c r="R28" s="44"/>
      <c r="S28" s="53"/>
      <c r="T28" s="58"/>
      <c r="U28" s="58">
        <f t="shared" si="4"/>
        <v>0</v>
      </c>
      <c r="V28" s="44"/>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c r="Q29" s="58"/>
      <c r="R29" s="44"/>
      <c r="S29" s="53"/>
      <c r="T29" s="58"/>
      <c r="U29" s="58">
        <f t="shared" si="4"/>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4" customFormat="1" ht="126">
      <c r="A39" s="43">
        <v>3</v>
      </c>
      <c r="B39" s="43" t="str">
        <f>B17</f>
        <v>四川能投新都分布式能源有限公司</v>
      </c>
      <c r="C39" s="43" t="str">
        <f t="shared" ref="C39:G39" si="5">C17</f>
        <v>成都市新都区市场监督管理局</v>
      </c>
      <c r="D39" s="43" t="str">
        <f t="shared" si="5"/>
        <v>915101143994217704</v>
      </c>
      <c r="E39" s="43" t="str">
        <f t="shared" si="5"/>
        <v>其他有限责任公司</v>
      </c>
      <c r="F39" s="43" t="str">
        <f t="shared" si="5"/>
        <v>成都市新都区税务局</v>
      </c>
      <c r="G39" s="43" t="str">
        <f t="shared" si="5"/>
        <v>收款账号：511610018010210321008
开户行：交通银行成都双流棠湖支行</v>
      </c>
      <c r="H39" s="43" t="s">
        <v>71</v>
      </c>
      <c r="I39" s="43" t="s">
        <v>450</v>
      </c>
      <c r="J39" s="43" t="s">
        <v>1582</v>
      </c>
      <c r="K39" s="43">
        <v>300</v>
      </c>
      <c r="L39" s="43" t="s">
        <v>1577</v>
      </c>
      <c r="M39" s="43" t="s">
        <v>1583</v>
      </c>
      <c r="N39" s="65">
        <v>45015</v>
      </c>
      <c r="O39" s="65">
        <v>45280</v>
      </c>
      <c r="P39" s="43">
        <f>P48-N39</f>
        <v>265</v>
      </c>
      <c r="Q39" s="55">
        <f>SUM(Q40:Q51)</f>
        <v>8.1999999999999993</v>
      </c>
      <c r="R39" s="55">
        <v>3.27</v>
      </c>
      <c r="S39" s="43"/>
      <c r="T39" s="55">
        <f>SUM(T40:T51)</f>
        <v>8.1999999999999993</v>
      </c>
      <c r="U39" s="56">
        <v>3.6999999999999998E-2</v>
      </c>
      <c r="V39" s="50"/>
      <c r="W39" s="43" t="s">
        <v>1579</v>
      </c>
      <c r="X39" s="57">
        <v>1.4999999999999999E-2</v>
      </c>
      <c r="Y39" s="43">
        <f>ROUNDDOWN(IF((O39-N39+1)*K39*X39/365&gt;R39,R39,(O39-N39+1)*K39*X39/365),2)</f>
        <v>3.27</v>
      </c>
      <c r="Z39" s="55">
        <f>R39-Y39</f>
        <v>0</v>
      </c>
      <c r="AA39" s="55"/>
      <c r="AB39" s="43" t="s">
        <v>61</v>
      </c>
    </row>
    <row r="40" spans="1:28" s="35" customFormat="1">
      <c r="A40" s="44"/>
      <c r="B40" s="44"/>
      <c r="C40" s="44"/>
      <c r="D40" s="44"/>
      <c r="E40" s="44"/>
      <c r="F40" s="44"/>
      <c r="G40" s="44"/>
      <c r="H40" s="44"/>
      <c r="I40" s="44"/>
      <c r="J40" s="44"/>
      <c r="K40" s="44"/>
      <c r="L40" s="44"/>
      <c r="M40" s="44"/>
      <c r="N40" s="52"/>
      <c r="O40" s="65">
        <v>45299</v>
      </c>
      <c r="P40" s="53">
        <v>45037</v>
      </c>
      <c r="Q40" s="58">
        <v>0.68</v>
      </c>
      <c r="R40" s="44"/>
      <c r="S40" s="53">
        <v>45037</v>
      </c>
      <c r="T40" s="58">
        <f>(S40-N39)/360*$U$39*$K$39</f>
        <v>0.68</v>
      </c>
      <c r="U40" s="58">
        <f>T40-Q40</f>
        <v>0</v>
      </c>
      <c r="V40" s="52"/>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v>45067</v>
      </c>
      <c r="Q41" s="58">
        <v>0.93</v>
      </c>
      <c r="R41" s="44"/>
      <c r="S41" s="53">
        <v>45067</v>
      </c>
      <c r="T41" s="58">
        <f>(S41-S40)/360*$U$39*$K$39</f>
        <v>0.93</v>
      </c>
      <c r="U41" s="58">
        <f>T41-Q41</f>
        <v>0</v>
      </c>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v>45098</v>
      </c>
      <c r="Q42" s="58">
        <v>0.96</v>
      </c>
      <c r="R42" s="44"/>
      <c r="S42" s="53">
        <v>45098</v>
      </c>
      <c r="T42" s="58">
        <f t="shared" ref="T42:T48" si="6">(S42-S41)/360*$U$39*$K$39</f>
        <v>0.96</v>
      </c>
      <c r="U42" s="58">
        <f t="shared" ref="U42:U48" si="7">T42-Q42</f>
        <v>0</v>
      </c>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v>45128</v>
      </c>
      <c r="Q43" s="58">
        <v>0.93</v>
      </c>
      <c r="R43" s="44"/>
      <c r="S43" s="53">
        <v>45128</v>
      </c>
      <c r="T43" s="58">
        <f t="shared" si="6"/>
        <v>0.93</v>
      </c>
      <c r="U43" s="58">
        <f t="shared" si="7"/>
        <v>0</v>
      </c>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v>45159</v>
      </c>
      <c r="Q44" s="58">
        <v>0.96</v>
      </c>
      <c r="R44" s="44"/>
      <c r="S44" s="53">
        <v>45159</v>
      </c>
      <c r="T44" s="58">
        <f t="shared" si="6"/>
        <v>0.96</v>
      </c>
      <c r="U44" s="58">
        <f t="shared" si="7"/>
        <v>0</v>
      </c>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v>45190</v>
      </c>
      <c r="Q45" s="58">
        <v>0.96</v>
      </c>
      <c r="R45" s="44"/>
      <c r="S45" s="53">
        <v>45190</v>
      </c>
      <c r="T45" s="58">
        <f t="shared" si="6"/>
        <v>0.96</v>
      </c>
      <c r="U45" s="58">
        <f t="shared" si="7"/>
        <v>0</v>
      </c>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v>45220</v>
      </c>
      <c r="Q46" s="58">
        <v>0.93</v>
      </c>
      <c r="R46" s="44"/>
      <c r="S46" s="53">
        <v>45220</v>
      </c>
      <c r="T46" s="58">
        <f t="shared" si="6"/>
        <v>0.93</v>
      </c>
      <c r="U46" s="58">
        <f t="shared" si="7"/>
        <v>0</v>
      </c>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v>45251</v>
      </c>
      <c r="Q47" s="58">
        <v>0.96</v>
      </c>
      <c r="R47" s="44"/>
      <c r="S47" s="53">
        <v>45251</v>
      </c>
      <c r="T47" s="58">
        <f t="shared" si="6"/>
        <v>0.96</v>
      </c>
      <c r="U47" s="58">
        <f t="shared" si="7"/>
        <v>0</v>
      </c>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v>45280</v>
      </c>
      <c r="Q48" s="58">
        <v>0.89</v>
      </c>
      <c r="R48" s="44"/>
      <c r="S48" s="53">
        <v>45280</v>
      </c>
      <c r="T48" s="58">
        <f t="shared" si="6"/>
        <v>0.89</v>
      </c>
      <c r="U48" s="58">
        <f t="shared" si="7"/>
        <v>0</v>
      </c>
      <c r="V48" s="44"/>
      <c r="W48" s="44"/>
      <c r="X48" s="44"/>
      <c r="Y48" s="44"/>
      <c r="Z48" s="44"/>
      <c r="AA48" s="44"/>
      <c r="AB48" s="44"/>
    </row>
    <row r="49" spans="1:28" s="35" customFormat="1">
      <c r="A49" s="44"/>
      <c r="B49" s="44"/>
      <c r="C49" s="44"/>
      <c r="D49" s="44"/>
      <c r="E49" s="44"/>
      <c r="F49" s="44"/>
      <c r="G49" s="44"/>
      <c r="H49" s="44"/>
      <c r="I49" s="44"/>
      <c r="J49" s="44"/>
      <c r="K49" s="44"/>
      <c r="L49" s="44"/>
      <c r="M49" s="44"/>
      <c r="N49" s="52"/>
      <c r="O49" s="52"/>
      <c r="P49" s="53"/>
      <c r="Q49" s="58"/>
      <c r="R49" s="44"/>
      <c r="S49" s="53"/>
      <c r="T49" s="58"/>
      <c r="U49" s="58"/>
      <c r="V49" s="44"/>
      <c r="W49" s="44"/>
      <c r="X49" s="44"/>
      <c r="Y49" s="44"/>
      <c r="Z49" s="44"/>
      <c r="AA49" s="44"/>
      <c r="AB49" s="44"/>
    </row>
    <row r="50" spans="1:28" s="35" customFormat="1">
      <c r="A50" s="44"/>
      <c r="B50" s="44"/>
      <c r="C50" s="44"/>
      <c r="D50" s="44"/>
      <c r="E50" s="44"/>
      <c r="F50" s="44"/>
      <c r="G50" s="44"/>
      <c r="H50" s="44"/>
      <c r="I50" s="44"/>
      <c r="J50" s="44"/>
      <c r="K50" s="44"/>
      <c r="L50" s="44"/>
      <c r="M50" s="44"/>
      <c r="N50" s="52"/>
      <c r="O50" s="52"/>
      <c r="P50" s="53"/>
      <c r="Q50" s="58"/>
      <c r="R50" s="44"/>
      <c r="S50" s="53"/>
      <c r="T50" s="58"/>
      <c r="U50" s="58"/>
      <c r="V50" s="44"/>
      <c r="W50" s="44"/>
      <c r="X50" s="44"/>
      <c r="Y50" s="44"/>
      <c r="Z50" s="44"/>
      <c r="AA50" s="44"/>
      <c r="AB50" s="44"/>
    </row>
    <row r="51" spans="1:28" s="35" customFormat="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4" customFormat="1" ht="126" hidden="1">
      <c r="A61" s="43">
        <v>4</v>
      </c>
      <c r="B61" s="43" t="str">
        <f>B39</f>
        <v>四川能投新都分布式能源有限公司</v>
      </c>
      <c r="C61" s="43" t="str">
        <f t="shared" ref="C61:G61" si="8">C39</f>
        <v>成都市新都区市场监督管理局</v>
      </c>
      <c r="D61" s="43" t="str">
        <f t="shared" si="8"/>
        <v>915101143994217704</v>
      </c>
      <c r="E61" s="43" t="str">
        <f t="shared" si="8"/>
        <v>其他有限责任公司</v>
      </c>
      <c r="F61" s="43" t="str">
        <f t="shared" si="8"/>
        <v>成都市新都区税务局</v>
      </c>
      <c r="G61" s="43" t="str">
        <f t="shared" si="8"/>
        <v>收款账号：511610018010210321008
开户行：交通银行成都双流棠湖支行</v>
      </c>
      <c r="H61" s="43"/>
      <c r="I61" s="43"/>
      <c r="J61" s="43"/>
      <c r="K61" s="43"/>
      <c r="L61" s="43"/>
      <c r="M61" s="43"/>
      <c r="N61" s="50"/>
      <c r="O61" s="50"/>
      <c r="P61" s="43"/>
      <c r="Q61" s="55">
        <f>SUM(Q62:Q82)</f>
        <v>0</v>
      </c>
      <c r="R61" s="43"/>
      <c r="S61" s="43"/>
      <c r="T61" s="43">
        <f>SUM(T62:T82)</f>
        <v>0</v>
      </c>
      <c r="U61" s="43"/>
      <c r="V61" s="50"/>
      <c r="W61" s="43"/>
      <c r="X61" s="64"/>
      <c r="Y61" s="43">
        <f>ROUNDUP(IF((O61-N61+1)*K61*X61/365&gt;R61,R61,(O61-N61+1)*K61*X61/365),2)</f>
        <v>0</v>
      </c>
      <c r="Z61" s="43"/>
      <c r="AA61" s="43"/>
      <c r="AB61" s="43"/>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52"/>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5" customFormat="1" hidden="1">
      <c r="A71" s="44"/>
      <c r="B71" s="44"/>
      <c r="C71" s="44"/>
      <c r="D71" s="44"/>
      <c r="E71" s="44"/>
      <c r="F71" s="44"/>
      <c r="G71" s="44"/>
      <c r="H71" s="44"/>
      <c r="I71" s="44"/>
      <c r="J71" s="44"/>
      <c r="K71" s="44"/>
      <c r="L71" s="44"/>
      <c r="M71" s="44"/>
      <c r="N71" s="52"/>
      <c r="O71" s="52"/>
      <c r="P71" s="53"/>
      <c r="Q71" s="58"/>
      <c r="R71" s="44"/>
      <c r="S71" s="53"/>
      <c r="T71" s="58"/>
      <c r="U71" s="58"/>
      <c r="V71" s="44"/>
      <c r="W71" s="44"/>
      <c r="X71" s="44"/>
      <c r="Y71" s="44"/>
      <c r="Z71" s="44"/>
      <c r="AA71" s="44"/>
      <c r="AB71" s="44"/>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4" customFormat="1" ht="126" hidden="1">
      <c r="A83" s="43">
        <v>5</v>
      </c>
      <c r="B83" s="43" t="str">
        <f>B61</f>
        <v>四川能投新都分布式能源有限公司</v>
      </c>
      <c r="C83" s="43" t="str">
        <f t="shared" ref="C83:G83" si="9">C61</f>
        <v>成都市新都区市场监督管理局</v>
      </c>
      <c r="D83" s="43" t="str">
        <f t="shared" si="9"/>
        <v>915101143994217704</v>
      </c>
      <c r="E83" s="43" t="str">
        <f t="shared" si="9"/>
        <v>其他有限责任公司</v>
      </c>
      <c r="F83" s="43" t="str">
        <f t="shared" si="9"/>
        <v>成都市新都区税务局</v>
      </c>
      <c r="G83" s="43" t="str">
        <f t="shared" si="9"/>
        <v>收款账号：511610018010210321008
开户行：交通银行成都双流棠湖支行</v>
      </c>
      <c r="H83" s="43"/>
      <c r="I83" s="43"/>
      <c r="J83" s="43"/>
      <c r="K83" s="43"/>
      <c r="L83" s="43"/>
      <c r="M83" s="43"/>
      <c r="N83" s="50"/>
      <c r="O83" s="50"/>
      <c r="P83" s="43"/>
      <c r="Q83" s="55">
        <f>SUM(Q84:Q104)</f>
        <v>0</v>
      </c>
      <c r="R83" s="43"/>
      <c r="S83" s="43"/>
      <c r="T83" s="43">
        <f>SUM(T84:T104)</f>
        <v>0</v>
      </c>
      <c r="U83" s="43"/>
      <c r="V83" s="50"/>
      <c r="W83" s="43"/>
      <c r="X83" s="64"/>
      <c r="Y83" s="43">
        <f>ROUNDUP(IF((O83-N83+1)*K83*X83/365&gt;R83,R83,(O83-N83+1)*K83*X83/365),2)</f>
        <v>0</v>
      </c>
      <c r="Z83" s="43"/>
      <c r="AA83" s="43"/>
      <c r="AB83" s="43"/>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52"/>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5" customFormat="1" hidden="1">
      <c r="A93" s="44"/>
      <c r="B93" s="44"/>
      <c r="C93" s="44"/>
      <c r="D93" s="44"/>
      <c r="E93" s="44"/>
      <c r="F93" s="44"/>
      <c r="G93" s="44"/>
      <c r="H93" s="44"/>
      <c r="I93" s="44"/>
      <c r="J93" s="44"/>
      <c r="K93" s="44"/>
      <c r="L93" s="44"/>
      <c r="M93" s="44"/>
      <c r="N93" s="52"/>
      <c r="O93" s="52"/>
      <c r="P93" s="53"/>
      <c r="Q93" s="58"/>
      <c r="R93" s="44"/>
      <c r="S93" s="53"/>
      <c r="T93" s="58"/>
      <c r="U93" s="58"/>
      <c r="V93" s="44"/>
      <c r="W93" s="44"/>
      <c r="X93" s="44"/>
      <c r="Y93" s="44"/>
      <c r="Z93" s="44"/>
      <c r="AA93" s="44"/>
      <c r="AB93" s="44"/>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4" customFormat="1">
      <c r="A105" s="43" t="s">
        <v>48</v>
      </c>
      <c r="B105" s="43"/>
      <c r="C105" s="43"/>
      <c r="D105" s="43"/>
      <c r="E105" s="43"/>
      <c r="F105" s="43"/>
      <c r="G105" s="43"/>
      <c r="H105" s="43"/>
      <c r="I105" s="43"/>
      <c r="J105" s="43"/>
      <c r="K105" s="43">
        <f>K83+K61+K39+K17++K4</f>
        <v>1000</v>
      </c>
      <c r="L105" s="43"/>
      <c r="M105" s="43"/>
      <c r="N105" s="50"/>
      <c r="O105" s="50"/>
      <c r="P105" s="43"/>
      <c r="Q105" s="43"/>
      <c r="R105" s="43"/>
      <c r="S105" s="43"/>
      <c r="T105" s="43"/>
      <c r="U105" s="43"/>
      <c r="V105" s="43"/>
      <c r="W105" s="43"/>
      <c r="X105" s="43"/>
      <c r="Y105" s="43">
        <f>Y83+Y61+Y39+Y17++Y4</f>
        <v>12.7</v>
      </c>
      <c r="Z105" s="43"/>
      <c r="AA105" s="43"/>
      <c r="AB105" s="43"/>
    </row>
    <row r="106" spans="1:28">
      <c r="I106" s="36" t="s">
        <v>49</v>
      </c>
      <c r="K106" s="36">
        <f>IF(K105&gt;3000,K107,K105)</f>
        <v>1000</v>
      </c>
    </row>
    <row r="107" spans="1:28" hidden="1">
      <c r="K107" s="36">
        <f>IF(K106&gt;3000,K108,K106)</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成都市西点缘电力投资管理有限公司审计明细表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84">
      <c r="A4" s="43">
        <v>1</v>
      </c>
      <c r="B4" s="43" t="s">
        <v>659</v>
      </c>
      <c r="C4" s="43" t="s">
        <v>1547</v>
      </c>
      <c r="D4" s="43" t="s">
        <v>1584</v>
      </c>
      <c r="E4" s="43" t="s">
        <v>246</v>
      </c>
      <c r="F4" s="43" t="s">
        <v>1549</v>
      </c>
      <c r="G4" s="43" t="s">
        <v>1565</v>
      </c>
      <c r="H4" s="43" t="s">
        <v>958</v>
      </c>
      <c r="I4" s="43" t="s">
        <v>1566</v>
      </c>
      <c r="J4" s="43" t="s">
        <v>73</v>
      </c>
      <c r="K4" s="43">
        <v>300</v>
      </c>
      <c r="L4" s="43" t="s">
        <v>1585</v>
      </c>
      <c r="M4" s="49" t="s">
        <v>1586</v>
      </c>
      <c r="N4" s="65">
        <v>44945</v>
      </c>
      <c r="O4" s="65">
        <v>45291</v>
      </c>
      <c r="P4" s="43">
        <f>P17-N4</f>
        <v>346</v>
      </c>
      <c r="Q4" s="55">
        <f>SUM(Q5:Q26)</f>
        <v>12.15</v>
      </c>
      <c r="R4" s="55">
        <v>2.84</v>
      </c>
      <c r="S4" s="43"/>
      <c r="T4" s="55">
        <f>SUM(T5:T26)</f>
        <v>11.85</v>
      </c>
      <c r="U4" s="56">
        <v>4.1200000000000001E-2</v>
      </c>
      <c r="V4" s="50"/>
      <c r="W4" s="43" t="s">
        <v>42</v>
      </c>
      <c r="X4" s="57">
        <v>0.01</v>
      </c>
      <c r="Y4" s="66">
        <f>ROUNDDOWN(IF((O4-N4+1)*K4*X4/365&gt;R4,R4,(O4-N4+1)*K4*X4/365),2)</f>
        <v>2.84</v>
      </c>
      <c r="Z4" s="55">
        <f>R4-Y4</f>
        <v>0</v>
      </c>
      <c r="AA4" s="55"/>
      <c r="AB4" s="43" t="s">
        <v>61</v>
      </c>
    </row>
    <row r="5" spans="1:29" s="35" customFormat="1">
      <c r="A5" s="44"/>
      <c r="B5" s="44"/>
      <c r="C5" s="44"/>
      <c r="D5" s="44"/>
      <c r="E5" s="44"/>
      <c r="F5" s="44"/>
      <c r="G5" s="44"/>
      <c r="H5" s="44"/>
      <c r="I5" s="44"/>
      <c r="J5" s="44"/>
      <c r="K5" s="44"/>
      <c r="L5" s="44"/>
      <c r="M5" s="63"/>
      <c r="N5" s="52"/>
      <c r="O5" s="65">
        <v>45309</v>
      </c>
      <c r="P5" s="53">
        <v>44946</v>
      </c>
      <c r="Q5" s="58">
        <v>0.34</v>
      </c>
      <c r="R5" s="44"/>
      <c r="S5" s="53">
        <v>44946</v>
      </c>
      <c r="T5" s="58">
        <f>(S5-N4)/360*$U$4*$K$4</f>
        <v>0.03</v>
      </c>
      <c r="U5" s="58">
        <f>T5-Q5</f>
        <v>-0.31</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1.06</v>
      </c>
      <c r="R6" s="44"/>
      <c r="S6" s="53">
        <v>44977</v>
      </c>
      <c r="T6" s="58">
        <f>(S6-S5)/360*$U$4*$K$4</f>
        <v>1.06</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45005</v>
      </c>
      <c r="Q7" s="58">
        <v>0.96</v>
      </c>
      <c r="R7" s="44"/>
      <c r="S7" s="53">
        <v>45005</v>
      </c>
      <c r="T7" s="58">
        <f>(S7-S6)*$K$4*U4/360</f>
        <v>0.96</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1.06</v>
      </c>
      <c r="R8" s="44"/>
      <c r="S8" s="53">
        <v>45036</v>
      </c>
      <c r="T8" s="58">
        <f>(S8-S7)*$K$4*$U$4/360</f>
        <v>1.06</v>
      </c>
      <c r="U8" s="58">
        <f t="shared" ref="U8:U17"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1.03</v>
      </c>
      <c r="R9" s="44"/>
      <c r="S9" s="53">
        <v>45066</v>
      </c>
      <c r="T9" s="58">
        <f t="shared" ref="T9:T17" si="1">(S9-S8)*$K$4*$U$4/360</f>
        <v>1.03</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1.06</v>
      </c>
      <c r="R10" s="44"/>
      <c r="S10" s="53">
        <v>45097</v>
      </c>
      <c r="T10" s="58">
        <f t="shared" si="1"/>
        <v>1.06</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1.03</v>
      </c>
      <c r="R11" s="44"/>
      <c r="S11" s="53">
        <v>45127</v>
      </c>
      <c r="T11" s="58">
        <f t="shared" si="1"/>
        <v>1.03</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1.06</v>
      </c>
      <c r="R12" s="44"/>
      <c r="S12" s="53">
        <v>45158</v>
      </c>
      <c r="T12" s="58">
        <f t="shared" si="1"/>
        <v>1.06</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1.06</v>
      </c>
      <c r="R13" s="44"/>
      <c r="S13" s="53">
        <v>45189</v>
      </c>
      <c r="T13" s="58">
        <f t="shared" si="1"/>
        <v>1.06</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1.03</v>
      </c>
      <c r="R14" s="44"/>
      <c r="S14" s="53">
        <v>45219</v>
      </c>
      <c r="T14" s="58">
        <f t="shared" si="1"/>
        <v>1.03</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1.06</v>
      </c>
      <c r="R15" s="44"/>
      <c r="S15" s="53">
        <v>45250</v>
      </c>
      <c r="T15" s="58">
        <f t="shared" si="1"/>
        <v>1.06</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45280</v>
      </c>
      <c r="Q16" s="58">
        <v>1.03</v>
      </c>
      <c r="R16" s="44"/>
      <c r="S16" s="53">
        <v>45280</v>
      </c>
      <c r="T16" s="58">
        <f t="shared" si="1"/>
        <v>1.03</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45291</v>
      </c>
      <c r="Q17" s="58">
        <v>0.37</v>
      </c>
      <c r="R17" s="44"/>
      <c r="S17" s="53">
        <v>45291</v>
      </c>
      <c r="T17" s="58">
        <f t="shared" si="1"/>
        <v>0.38</v>
      </c>
      <c r="U17" s="58">
        <f t="shared" si="0"/>
        <v>0.01</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84">
      <c r="A27" s="43">
        <v>2</v>
      </c>
      <c r="B27" s="43" t="str">
        <f>B4</f>
        <v>成都市西点缘电力投资管理有限公司</v>
      </c>
      <c r="C27" s="43" t="str">
        <f t="shared" ref="C27:G27" si="2">C4</f>
        <v>成都市新都区市场监督管理局</v>
      </c>
      <c r="D27" s="43" t="str">
        <f t="shared" si="2"/>
        <v>915101146604618736</v>
      </c>
      <c r="E27" s="43" t="str">
        <f t="shared" si="2"/>
        <v>有限责任公司（自然人投资或控股）</v>
      </c>
      <c r="F27" s="43" t="str">
        <f t="shared" si="2"/>
        <v>成都市新都区税务局</v>
      </c>
      <c r="G27" s="43" t="str">
        <f t="shared" si="2"/>
        <v>122555928604中国银行成都新都支行</v>
      </c>
      <c r="H27" s="43" t="s">
        <v>71</v>
      </c>
      <c r="I27" s="43" t="s">
        <v>1566</v>
      </c>
      <c r="J27" s="43" t="s">
        <v>73</v>
      </c>
      <c r="K27" s="43">
        <v>400</v>
      </c>
      <c r="L27" s="43" t="s">
        <v>1587</v>
      </c>
      <c r="M27" s="49" t="s">
        <v>1588</v>
      </c>
      <c r="N27" s="65">
        <v>44965</v>
      </c>
      <c r="O27" s="65">
        <v>45291</v>
      </c>
      <c r="P27" s="43">
        <f>P39-N27</f>
        <v>326</v>
      </c>
      <c r="Q27" s="55">
        <f>SUM(Q28:Q38)</f>
        <v>14.72</v>
      </c>
      <c r="R27" s="66">
        <v>5.36</v>
      </c>
      <c r="S27" s="43"/>
      <c r="T27" s="55">
        <f>SUM(T28:T38)</f>
        <v>14.72</v>
      </c>
      <c r="U27" s="56">
        <v>4.2000000000000003E-2</v>
      </c>
      <c r="V27" s="50"/>
      <c r="W27" s="43" t="s">
        <v>42</v>
      </c>
      <c r="X27" s="67">
        <v>1.4999999999999999E-2</v>
      </c>
      <c r="Y27" s="43">
        <f>ROUNDUP(IF((O27-N27+1)*K27*X27/365&gt;R27,R27,(O27-N27+1)*K27*X27/365),2)</f>
        <v>5.36</v>
      </c>
      <c r="Z27" s="55">
        <f>R27-Y27</f>
        <v>0</v>
      </c>
      <c r="AA27" s="55"/>
      <c r="AB27" s="43" t="s">
        <v>61</v>
      </c>
    </row>
    <row r="28" spans="1:28" s="35" customFormat="1">
      <c r="A28" s="44"/>
      <c r="B28" s="44"/>
      <c r="C28" s="44"/>
      <c r="D28" s="44"/>
      <c r="E28" s="44"/>
      <c r="F28" s="44"/>
      <c r="G28" s="44"/>
      <c r="H28" s="44"/>
      <c r="I28" s="44"/>
      <c r="J28" s="44"/>
      <c r="K28" s="44"/>
      <c r="L28" s="44"/>
      <c r="M28" s="44"/>
      <c r="N28" s="52"/>
      <c r="O28" s="65">
        <v>45339</v>
      </c>
      <c r="P28" s="53">
        <v>44977</v>
      </c>
      <c r="Q28" s="58">
        <v>0.56000000000000005</v>
      </c>
      <c r="R28" s="44"/>
      <c r="S28" s="53">
        <v>44977</v>
      </c>
      <c r="T28" s="58">
        <f>(S28-N27)/360*$U$27*$K$27</f>
        <v>0.56000000000000005</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45005</v>
      </c>
      <c r="Q29" s="82">
        <v>1.31</v>
      </c>
      <c r="R29" s="44"/>
      <c r="S29" s="53">
        <v>45005</v>
      </c>
      <c r="T29" s="58">
        <f t="shared" ref="T29:T39" si="3">(S29-S28)*$K$27*$U$27/360</f>
        <v>1.31</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45036</v>
      </c>
      <c r="Q30" s="58">
        <v>1.45</v>
      </c>
      <c r="R30" s="44"/>
      <c r="S30" s="53">
        <v>45036</v>
      </c>
      <c r="T30" s="58">
        <f t="shared" si="3"/>
        <v>1.45</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45066</v>
      </c>
      <c r="Q31" s="58">
        <v>1.4</v>
      </c>
      <c r="R31" s="44"/>
      <c r="S31" s="53">
        <v>45066</v>
      </c>
      <c r="T31" s="58">
        <f t="shared" si="3"/>
        <v>1.4</v>
      </c>
      <c r="U31" s="58">
        <f t="shared" ref="U31:U39"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45097</v>
      </c>
      <c r="Q32" s="58">
        <v>1.45</v>
      </c>
      <c r="R32" s="44"/>
      <c r="S32" s="53">
        <v>45097</v>
      </c>
      <c r="T32" s="58">
        <f t="shared" si="3"/>
        <v>1.45</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45127</v>
      </c>
      <c r="Q33" s="58">
        <v>1.4</v>
      </c>
      <c r="R33" s="44"/>
      <c r="S33" s="53">
        <v>45127</v>
      </c>
      <c r="T33" s="58">
        <f t="shared" si="3"/>
        <v>1.4</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45158</v>
      </c>
      <c r="Q34" s="58">
        <v>1.45</v>
      </c>
      <c r="R34" s="44"/>
      <c r="S34" s="53">
        <v>45158</v>
      </c>
      <c r="T34" s="58">
        <f t="shared" si="3"/>
        <v>1.45</v>
      </c>
      <c r="U34" s="58">
        <f t="shared" si="4"/>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45189</v>
      </c>
      <c r="Q35" s="58">
        <v>1.45</v>
      </c>
      <c r="R35" s="44"/>
      <c r="S35" s="53">
        <v>45189</v>
      </c>
      <c r="T35" s="58">
        <f t="shared" si="3"/>
        <v>1.45</v>
      </c>
      <c r="U35" s="58">
        <f t="shared" si="4"/>
        <v>0</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45219</v>
      </c>
      <c r="Q36" s="58">
        <v>1.4</v>
      </c>
      <c r="R36" s="44"/>
      <c r="S36" s="53">
        <v>45219</v>
      </c>
      <c r="T36" s="58">
        <f t="shared" si="3"/>
        <v>1.4</v>
      </c>
      <c r="U36" s="58">
        <f t="shared" si="4"/>
        <v>0</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45250</v>
      </c>
      <c r="Q37" s="58">
        <v>1.45</v>
      </c>
      <c r="R37" s="44"/>
      <c r="S37" s="53">
        <v>45250</v>
      </c>
      <c r="T37" s="58">
        <f t="shared" si="3"/>
        <v>1.45</v>
      </c>
      <c r="U37" s="58">
        <f t="shared" si="4"/>
        <v>0</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45280</v>
      </c>
      <c r="Q38" s="58">
        <v>1.4</v>
      </c>
      <c r="R38" s="44"/>
      <c r="S38" s="53">
        <v>45280</v>
      </c>
      <c r="T38" s="58">
        <f t="shared" si="3"/>
        <v>1.4</v>
      </c>
      <c r="U38" s="58">
        <f t="shared" si="4"/>
        <v>0</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v>45291</v>
      </c>
      <c r="Q39" s="58">
        <v>0.17</v>
      </c>
      <c r="R39" s="44"/>
      <c r="S39" s="53">
        <v>45291</v>
      </c>
      <c r="T39" s="58">
        <f t="shared" si="3"/>
        <v>0.51</v>
      </c>
      <c r="U39" s="58">
        <f t="shared" si="4"/>
        <v>0.34</v>
      </c>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56" hidden="1">
      <c r="A49" s="43">
        <v>3</v>
      </c>
      <c r="B49" s="43" t="str">
        <f>B27</f>
        <v>成都市西点缘电力投资管理有限公司</v>
      </c>
      <c r="C49" s="43" t="str">
        <f t="shared" ref="C49:G49" si="5">C27</f>
        <v>成都市新都区市场监督管理局</v>
      </c>
      <c r="D49" s="43" t="str">
        <f t="shared" si="5"/>
        <v>915101146604618736</v>
      </c>
      <c r="E49" s="43" t="str">
        <f t="shared" si="5"/>
        <v>有限责任公司（自然人投资或控股）</v>
      </c>
      <c r="F49" s="43" t="str">
        <f t="shared" si="5"/>
        <v>成都市新都区税务局</v>
      </c>
      <c r="G49" s="43" t="str">
        <f t="shared" si="5"/>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56" hidden="1">
      <c r="A71" s="43">
        <v>4</v>
      </c>
      <c r="B71" s="43" t="str">
        <f>B49</f>
        <v>成都市西点缘电力投资管理有限公司</v>
      </c>
      <c r="C71" s="43" t="str">
        <f t="shared" ref="C71:G71" si="6">C49</f>
        <v>成都市新都区市场监督管理局</v>
      </c>
      <c r="D71" s="43" t="str">
        <f t="shared" si="6"/>
        <v>915101146604618736</v>
      </c>
      <c r="E71" s="43" t="str">
        <f t="shared" si="6"/>
        <v>有限责任公司（自然人投资或控股）</v>
      </c>
      <c r="F71" s="43" t="str">
        <f t="shared" si="6"/>
        <v>成都市新都区税务局</v>
      </c>
      <c r="G71" s="43" t="str">
        <f t="shared" si="6"/>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56" hidden="1">
      <c r="A93" s="43">
        <v>5</v>
      </c>
      <c r="B93" s="43" t="str">
        <f>B71</f>
        <v>成都市西点缘电力投资管理有限公司</v>
      </c>
      <c r="C93" s="43" t="str">
        <f t="shared" ref="C93:G93" si="7">C71</f>
        <v>成都市新都区市场监督管理局</v>
      </c>
      <c r="D93" s="43" t="str">
        <f t="shared" si="7"/>
        <v>915101146604618736</v>
      </c>
      <c r="E93" s="43" t="str">
        <f t="shared" si="7"/>
        <v>有限责任公司（自然人投资或控股）</v>
      </c>
      <c r="F93" s="43" t="str">
        <f t="shared" si="7"/>
        <v>成都市新都区税务局</v>
      </c>
      <c r="G93" s="43" t="str">
        <f t="shared" si="7"/>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700</v>
      </c>
      <c r="L115" s="43"/>
      <c r="M115" s="43"/>
      <c r="N115" s="50"/>
      <c r="O115" s="50"/>
      <c r="P115" s="43"/>
      <c r="Q115" s="43"/>
      <c r="R115" s="43"/>
      <c r="S115" s="43"/>
      <c r="T115" s="43"/>
      <c r="U115" s="43"/>
      <c r="V115" s="43"/>
      <c r="W115" s="43"/>
      <c r="X115" s="43"/>
      <c r="Y115" s="43">
        <f>Y93+Y71+Y49+Y27++Y4</f>
        <v>8.1999999999999993</v>
      </c>
      <c r="Z115" s="43"/>
      <c r="AA115" s="43"/>
      <c r="AB115" s="43"/>
    </row>
    <row r="116" spans="1:28">
      <c r="I116" s="36" t="s">
        <v>49</v>
      </c>
      <c r="K116" s="36">
        <f>IF(K115&gt;3000,K117,K115)</f>
        <v>700</v>
      </c>
    </row>
    <row r="117" spans="1:28" hidden="1">
      <c r="K117" s="36">
        <f>IF(K116&gt;3000,K118,K116)</f>
        <v>700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成都正升能源技术开发有限公司审计明细表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1" customHeight="1">
      <c r="A4" s="9">
        <v>1</v>
      </c>
      <c r="B4" s="9" t="s">
        <v>223</v>
      </c>
      <c r="C4" s="9" t="s">
        <v>224</v>
      </c>
      <c r="D4" s="9" t="s">
        <v>225</v>
      </c>
      <c r="E4" s="9" t="s">
        <v>226</v>
      </c>
      <c r="F4" s="9" t="s">
        <v>91</v>
      </c>
      <c r="G4" s="9" t="s">
        <v>227</v>
      </c>
      <c r="H4" s="9" t="s">
        <v>71</v>
      </c>
      <c r="I4" s="9" t="s">
        <v>93</v>
      </c>
      <c r="J4" s="9" t="s">
        <v>228</v>
      </c>
      <c r="K4" s="9">
        <v>500</v>
      </c>
      <c r="L4" s="9" t="s">
        <v>229</v>
      </c>
      <c r="M4" s="20" t="s">
        <v>230</v>
      </c>
      <c r="N4" s="16">
        <v>45063</v>
      </c>
      <c r="O4" s="16">
        <v>45291</v>
      </c>
      <c r="P4" s="9">
        <f>P12-N4</f>
        <v>217</v>
      </c>
      <c r="Q4" s="22">
        <f>SUM(Q5:Q25)</f>
        <v>11.41</v>
      </c>
      <c r="R4" s="22">
        <v>6.246575</v>
      </c>
      <c r="S4" s="9"/>
      <c r="T4" s="22">
        <f>SUM(T5:T25)</f>
        <v>11.49</v>
      </c>
      <c r="U4" s="23">
        <v>3.8100000000000002E-2</v>
      </c>
      <c r="V4" s="16"/>
      <c r="W4" s="9" t="s">
        <v>42</v>
      </c>
      <c r="X4" s="24">
        <v>1.4999999999999999E-2</v>
      </c>
      <c r="Y4" s="9">
        <f>ROUNDDOWN(IF((O4-N4+1)*K4*X4/365&gt;R4,R4,(O4-N4+1)*K4*X4/365),2)</f>
        <v>4.7</v>
      </c>
      <c r="Z4" s="22">
        <f>R4-Y4</f>
        <v>1.55</v>
      </c>
      <c r="AA4" s="22" t="s">
        <v>177</v>
      </c>
      <c r="AB4" s="9" t="s">
        <v>61</v>
      </c>
      <c r="AD4" s="28">
        <f>(O4-N4+1)*K4*X4/365</f>
        <v>4.7054999999999998</v>
      </c>
    </row>
    <row r="5" spans="1:30" s="2" customFormat="1">
      <c r="A5" s="10"/>
      <c r="B5" s="10"/>
      <c r="C5" s="10"/>
      <c r="D5" s="10"/>
      <c r="E5" s="10"/>
      <c r="F5" s="10"/>
      <c r="G5" s="10"/>
      <c r="H5" s="10"/>
      <c r="I5" s="10"/>
      <c r="J5" s="10"/>
      <c r="K5" s="10"/>
      <c r="L5" s="10"/>
      <c r="M5" s="17"/>
      <c r="N5" s="18"/>
      <c r="O5" s="16">
        <v>45589</v>
      </c>
      <c r="P5" s="19">
        <v>45066</v>
      </c>
      <c r="Q5" s="25">
        <v>0.16</v>
      </c>
      <c r="R5" s="10"/>
      <c r="S5" s="19">
        <f>P5</f>
        <v>45066</v>
      </c>
      <c r="T5" s="25">
        <f>(S5-N4)/360*$U$4*$K$4</f>
        <v>0.16</v>
      </c>
      <c r="U5" s="25">
        <f>T5-Q5</f>
        <v>0</v>
      </c>
      <c r="V5" s="18"/>
      <c r="W5" s="10"/>
      <c r="X5" s="10"/>
      <c r="Y5" s="10">
        <f>ROUNDDOWN((V5-N4)*K4*X4/365,2)</f>
        <v>-925.95</v>
      </c>
      <c r="Z5" s="10"/>
      <c r="AA5" s="10"/>
      <c r="AB5" s="10"/>
    </row>
    <row r="6" spans="1:30" s="2" customFormat="1">
      <c r="A6" s="10"/>
      <c r="B6" s="10"/>
      <c r="C6" s="10"/>
      <c r="D6" s="10"/>
      <c r="E6" s="10"/>
      <c r="F6" s="10"/>
      <c r="G6" s="10"/>
      <c r="H6" s="10"/>
      <c r="I6" s="10"/>
      <c r="J6" s="10"/>
      <c r="K6" s="10"/>
      <c r="L6" s="10"/>
      <c r="M6" s="17"/>
      <c r="N6" s="18"/>
      <c r="O6" s="18"/>
      <c r="P6" s="19">
        <v>45097</v>
      </c>
      <c r="Q6" s="25">
        <v>1.64</v>
      </c>
      <c r="R6" s="10"/>
      <c r="S6" s="19">
        <f t="shared" ref="S6:S12" si="0">P6</f>
        <v>45097</v>
      </c>
      <c r="T6" s="25">
        <f>(S6-S5)*$K$4*$U$4/360</f>
        <v>1.64</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45127</v>
      </c>
      <c r="Q7" s="25">
        <v>1.59</v>
      </c>
      <c r="R7" s="10"/>
      <c r="S7" s="19">
        <f t="shared" si="0"/>
        <v>45127</v>
      </c>
      <c r="T7" s="25">
        <f t="shared" ref="T7:T12" si="1">(S7-S6)*$K$4*$U$4/360</f>
        <v>1.59</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45158</v>
      </c>
      <c r="Q8" s="25">
        <v>1.64</v>
      </c>
      <c r="R8" s="10"/>
      <c r="S8" s="19">
        <f t="shared" si="0"/>
        <v>45158</v>
      </c>
      <c r="T8" s="25">
        <f t="shared" si="1"/>
        <v>1.64</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45189</v>
      </c>
      <c r="Q9" s="25">
        <v>1.64</v>
      </c>
      <c r="R9" s="10"/>
      <c r="S9" s="19">
        <f t="shared" si="0"/>
        <v>45189</v>
      </c>
      <c r="T9" s="25">
        <f t="shared" si="1"/>
        <v>1.64</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45219</v>
      </c>
      <c r="Q10" s="25">
        <v>1.59</v>
      </c>
      <c r="R10" s="10"/>
      <c r="S10" s="19">
        <f t="shared" si="0"/>
        <v>45219</v>
      </c>
      <c r="T10" s="25">
        <f t="shared" si="1"/>
        <v>1.59</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45250</v>
      </c>
      <c r="Q11" s="25">
        <v>1.6</v>
      </c>
      <c r="R11" s="10"/>
      <c r="S11" s="19">
        <f t="shared" si="0"/>
        <v>45250</v>
      </c>
      <c r="T11" s="25">
        <f t="shared" si="1"/>
        <v>1.64</v>
      </c>
      <c r="U11" s="25">
        <f t="shared" si="2"/>
        <v>0.04</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45280</v>
      </c>
      <c r="Q12" s="25">
        <v>1.55</v>
      </c>
      <c r="R12" s="10"/>
      <c r="S12" s="19">
        <f t="shared" si="0"/>
        <v>45280</v>
      </c>
      <c r="T12" s="25">
        <f t="shared" si="1"/>
        <v>1.59</v>
      </c>
      <c r="U12" s="25">
        <f t="shared" si="2"/>
        <v>0.04</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成都正升能源技术开发有限公司</v>
      </c>
      <c r="C26" s="9" t="str">
        <f t="shared" ref="C26:G26" si="3">C4</f>
        <v>成都市高新区市场监督管理局</v>
      </c>
      <c r="D26" s="9" t="str">
        <f t="shared" si="3"/>
        <v>91510100572269734X</v>
      </c>
      <c r="E26" s="9" t="str">
        <f t="shared" si="3"/>
        <v>私营</v>
      </c>
      <c r="F26" s="9" t="str">
        <f t="shared" si="3"/>
        <v>成都市高新区税务局</v>
      </c>
      <c r="G26" s="9" t="str">
        <f t="shared" si="3"/>
        <v>中国银行成都万科支行119863706389</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成都正升能源技术开发有限公司</v>
      </c>
      <c r="C48" s="9" t="str">
        <f t="shared" ref="C48:G48" si="7">C26</f>
        <v>成都市高新区市场监督管理局</v>
      </c>
      <c r="D48" s="9" t="str">
        <f t="shared" si="7"/>
        <v>91510100572269734X</v>
      </c>
      <c r="E48" s="9" t="str">
        <f t="shared" si="7"/>
        <v>私营</v>
      </c>
      <c r="F48" s="9" t="str">
        <f t="shared" si="7"/>
        <v>成都市高新区税务局</v>
      </c>
      <c r="G48" s="9" t="str">
        <f t="shared" si="7"/>
        <v>中国银行成都万科支行119863706389</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成都正升能源技术开发有限公司</v>
      </c>
      <c r="C70" s="9" t="str">
        <f t="shared" ref="C70:G70" si="10">C48</f>
        <v>成都市高新区市场监督管理局</v>
      </c>
      <c r="D70" s="9" t="str">
        <f t="shared" si="10"/>
        <v>91510100572269734X</v>
      </c>
      <c r="E70" s="9" t="str">
        <f t="shared" si="10"/>
        <v>私营</v>
      </c>
      <c r="F70" s="9" t="str">
        <f t="shared" si="10"/>
        <v>成都市高新区税务局</v>
      </c>
      <c r="G70" s="9" t="str">
        <f t="shared" si="10"/>
        <v>中国银行成都万科支行119863706389</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成都正升能源技术开发有限公司</v>
      </c>
      <c r="C92" s="9" t="str">
        <f t="shared" ref="C92:G92" si="11">C70</f>
        <v>成都市高新区市场监督管理局</v>
      </c>
      <c r="D92" s="9" t="str">
        <f t="shared" si="11"/>
        <v>91510100572269734X</v>
      </c>
      <c r="E92" s="9" t="str">
        <f t="shared" si="11"/>
        <v>私营</v>
      </c>
      <c r="F92" s="9" t="str">
        <f t="shared" si="11"/>
        <v>成都市高新区税务局</v>
      </c>
      <c r="G92" s="9" t="str">
        <f t="shared" si="11"/>
        <v>中国银行成都万科支行119863706389</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9">
        <f>R92+R70+R48+R26++R4</f>
        <v>6.246575</v>
      </c>
      <c r="S114" s="9"/>
      <c r="T114" s="9"/>
      <c r="U114" s="9"/>
      <c r="V114" s="9"/>
      <c r="W114" s="9"/>
      <c r="X114" s="9"/>
      <c r="Y114" s="9">
        <f>Y92+Y70+Y48+Y26++Y4</f>
        <v>4.7</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AC117"/>
  <sheetViews>
    <sheetView topLeftCell="F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0" width="9.5" style="36" customWidth="1"/>
    <col min="21" max="21" width="9" style="36"/>
    <col min="22" max="22" width="11.5" style="36" customWidth="1"/>
    <col min="23" max="28" width="9" style="36"/>
    <col min="29" max="29" width="9" style="36" hidden="1" customWidth="1"/>
    <col min="30" max="16384" width="9" style="36"/>
  </cols>
  <sheetData>
    <row r="1" spans="1:29" ht="25">
      <c r="B1" s="163" t="str">
        <f>B4&amp;AC1</f>
        <v>成都裕鸢航空智能制造股份有限公司审计明细表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70">
      <c r="A4" s="43">
        <v>1</v>
      </c>
      <c r="B4" s="43" t="s">
        <v>682</v>
      </c>
      <c r="C4" s="43" t="s">
        <v>1547</v>
      </c>
      <c r="D4" s="43" t="s">
        <v>1589</v>
      </c>
      <c r="E4" s="43" t="s">
        <v>54</v>
      </c>
      <c r="F4" s="43" t="s">
        <v>1549</v>
      </c>
      <c r="G4" s="43" t="s">
        <v>1565</v>
      </c>
      <c r="H4" s="43" t="s">
        <v>71</v>
      </c>
      <c r="I4" s="43" t="s">
        <v>57</v>
      </c>
      <c r="J4" s="43" t="s">
        <v>73</v>
      </c>
      <c r="K4" s="43">
        <v>1000</v>
      </c>
      <c r="L4" s="43" t="s">
        <v>1590</v>
      </c>
      <c r="M4" s="49" t="s">
        <v>1591</v>
      </c>
      <c r="N4" s="65">
        <v>45015</v>
      </c>
      <c r="O4" s="65">
        <v>45291</v>
      </c>
      <c r="P4" s="43">
        <f>P8-N4</f>
        <v>357</v>
      </c>
      <c r="Q4" s="55">
        <f>SUM(Q5:Q26)</f>
        <v>31.74</v>
      </c>
      <c r="R4" s="55">
        <v>11.38</v>
      </c>
      <c r="S4" s="43"/>
      <c r="T4" s="55">
        <f>SUM(T5:T26)</f>
        <v>31.74</v>
      </c>
      <c r="U4" s="56">
        <v>3.2000000000000001E-2</v>
      </c>
      <c r="V4" s="50"/>
      <c r="W4" s="43" t="s">
        <v>42</v>
      </c>
      <c r="X4" s="57">
        <v>1.4999999999999999E-2</v>
      </c>
      <c r="Y4" s="66">
        <f>ROUNDDOWN(IF((O4-N4+1)*K4*X4/365&gt;R4,R4,(O4-N4+1)*K4*X4/365),2)</f>
        <v>11.38</v>
      </c>
      <c r="Z4" s="55">
        <f>R4-Y4</f>
        <v>0</v>
      </c>
      <c r="AA4" s="55"/>
      <c r="AB4" s="43" t="s">
        <v>61</v>
      </c>
    </row>
    <row r="5" spans="1:29" s="35" customFormat="1">
      <c r="A5" s="44"/>
      <c r="B5" s="44"/>
      <c r="C5" s="44"/>
      <c r="D5" s="44"/>
      <c r="E5" s="44"/>
      <c r="F5" s="44"/>
      <c r="G5" s="44"/>
      <c r="H5" s="44"/>
      <c r="I5" s="44"/>
      <c r="J5" s="44"/>
      <c r="K5" s="44"/>
      <c r="L5" s="44"/>
      <c r="M5" s="63"/>
      <c r="N5" s="52"/>
      <c r="O5" s="65">
        <v>45380</v>
      </c>
      <c r="P5" s="53">
        <v>45098</v>
      </c>
      <c r="Q5" s="58">
        <v>7.38</v>
      </c>
      <c r="R5" s="44"/>
      <c r="S5" s="53">
        <v>45098</v>
      </c>
      <c r="T5" s="58">
        <f>(S5-N4)/360*$U$4*$K$4</f>
        <v>7.38</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45190</v>
      </c>
      <c r="Q6" s="58">
        <v>8.18</v>
      </c>
      <c r="R6" s="44"/>
      <c r="S6" s="53">
        <v>45190</v>
      </c>
      <c r="T6" s="58">
        <f>(S6-S5)/360*$U$4*$K$4</f>
        <v>8.18</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45281</v>
      </c>
      <c r="Q7" s="58">
        <v>8.09</v>
      </c>
      <c r="R7" s="44"/>
      <c r="S7" s="53">
        <v>45281</v>
      </c>
      <c r="T7" s="58">
        <f>(S7-S6)*$K$4*U4/360</f>
        <v>8.09</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45372</v>
      </c>
      <c r="Q8" s="58">
        <v>8.09</v>
      </c>
      <c r="R8" s="44"/>
      <c r="S8" s="53">
        <v>45372</v>
      </c>
      <c r="T8" s="58">
        <f>(S8-S7)*$K$4*$U$4/360</f>
        <v>8.09</v>
      </c>
      <c r="U8" s="58">
        <f t="shared" ref="U8:U17"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f t="shared" ref="T10:T17" si="1">(S10-S9)*$K$4*$U$4/360</f>
        <v>0</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f t="shared" si="1"/>
        <v>0</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f t="shared" si="1"/>
        <v>0</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f t="shared" si="1"/>
        <v>0</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f t="shared" si="1"/>
        <v>0</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f t="shared" si="1"/>
        <v>0</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f t="shared" si="1"/>
        <v>0</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f t="shared" si="1"/>
        <v>0</v>
      </c>
      <c r="U17" s="58">
        <f t="shared" si="0"/>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56">
      <c r="A27" s="43">
        <v>2</v>
      </c>
      <c r="B27" s="43" t="str">
        <f>B4</f>
        <v>成都裕鸢航空智能制造股份有限公司</v>
      </c>
      <c r="C27" s="43" t="str">
        <f t="shared" ref="C27:G27" si="2">C4</f>
        <v>成都市新都区市场监督管理局</v>
      </c>
      <c r="D27" s="43" t="str">
        <f t="shared" si="2"/>
        <v>91510108743641634K</v>
      </c>
      <c r="E27" s="43" t="str">
        <f t="shared" si="2"/>
        <v>股份有限公司</v>
      </c>
      <c r="F27" s="43" t="str">
        <f t="shared" si="2"/>
        <v>成都市新都区税务局</v>
      </c>
      <c r="G27" s="43" t="str">
        <f t="shared" si="2"/>
        <v>122555928604中国银行成都新都支行</v>
      </c>
      <c r="H27" s="43" t="s">
        <v>71</v>
      </c>
      <c r="I27" s="43" t="s">
        <v>1592</v>
      </c>
      <c r="J27" s="43" t="s">
        <v>73</v>
      </c>
      <c r="K27" s="43">
        <v>1000</v>
      </c>
      <c r="L27" s="43" t="s">
        <v>1593</v>
      </c>
      <c r="M27" s="49" t="s">
        <v>1594</v>
      </c>
      <c r="N27" s="65">
        <v>45096</v>
      </c>
      <c r="O27" s="65">
        <v>45291</v>
      </c>
      <c r="P27" s="43">
        <f>P34-N27</f>
        <v>216</v>
      </c>
      <c r="Q27" s="55">
        <f>SUM(Q28:Q38)</f>
        <v>17.989999999999998</v>
      </c>
      <c r="R27" s="66">
        <v>8.0500000000000007</v>
      </c>
      <c r="S27" s="43"/>
      <c r="T27" s="55">
        <f>SUM(T28:T38)</f>
        <v>17.989999999999998</v>
      </c>
      <c r="U27" s="56">
        <v>0.03</v>
      </c>
      <c r="V27" s="50"/>
      <c r="W27" s="43" t="s">
        <v>42</v>
      </c>
      <c r="X27" s="67">
        <v>1.4999999999999999E-2</v>
      </c>
      <c r="Y27" s="43">
        <f>ROUNDUP(IF((O27-N27+1)*K27*X27/365&gt;R27,R27,(O27-N27+1)*K27*X27/365),2)</f>
        <v>8.0500000000000007</v>
      </c>
      <c r="Z27" s="55">
        <f>R27-Y27</f>
        <v>0</v>
      </c>
      <c r="AA27" s="55"/>
      <c r="AB27" s="43" t="s">
        <v>61</v>
      </c>
    </row>
    <row r="28" spans="1:28" s="35" customFormat="1">
      <c r="A28" s="44"/>
      <c r="B28" s="44"/>
      <c r="C28" s="44"/>
      <c r="D28" s="44"/>
      <c r="E28" s="44"/>
      <c r="F28" s="44"/>
      <c r="G28" s="44"/>
      <c r="H28" s="44"/>
      <c r="I28" s="44"/>
      <c r="J28" s="44"/>
      <c r="K28" s="44"/>
      <c r="L28" s="44"/>
      <c r="M28" s="44"/>
      <c r="N28" s="52"/>
      <c r="O28" s="65">
        <v>45458</v>
      </c>
      <c r="P28" s="53">
        <v>45128</v>
      </c>
      <c r="Q28" s="58">
        <v>2.67</v>
      </c>
      <c r="R28" s="44"/>
      <c r="S28" s="53">
        <v>45128</v>
      </c>
      <c r="T28" s="58">
        <f>(S28-N27)/360*$U$27*$K$27</f>
        <v>2.67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45159</v>
      </c>
      <c r="Q29" s="58">
        <v>2.58</v>
      </c>
      <c r="R29" s="44"/>
      <c r="S29" s="53">
        <v>45159</v>
      </c>
      <c r="T29" s="58">
        <f t="shared" ref="T29:T34" si="3">(S29-S28)*$K$27*$U$27/360</f>
        <v>2.58</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45190</v>
      </c>
      <c r="Q30" s="58">
        <v>2.58</v>
      </c>
      <c r="R30" s="44"/>
      <c r="S30" s="53">
        <v>45190</v>
      </c>
      <c r="T30" s="58">
        <f t="shared" si="3"/>
        <v>2.58</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45220</v>
      </c>
      <c r="Q31" s="58">
        <v>2.5</v>
      </c>
      <c r="R31" s="44"/>
      <c r="S31" s="53">
        <v>45220</v>
      </c>
      <c r="T31" s="58">
        <f t="shared" si="3"/>
        <v>2.5</v>
      </c>
      <c r="U31" s="58">
        <f t="shared" ref="U31:U34"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45251</v>
      </c>
      <c r="Q32" s="58">
        <v>2.58</v>
      </c>
      <c r="R32" s="44"/>
      <c r="S32" s="53">
        <v>45251</v>
      </c>
      <c r="T32" s="58">
        <f t="shared" si="3"/>
        <v>2.58</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45281</v>
      </c>
      <c r="Q33" s="58">
        <v>2.5</v>
      </c>
      <c r="R33" s="44"/>
      <c r="S33" s="53">
        <v>45281</v>
      </c>
      <c r="T33" s="58">
        <f t="shared" si="3"/>
        <v>2.5</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45312</v>
      </c>
      <c r="Q34" s="58">
        <v>2.58</v>
      </c>
      <c r="R34" s="44"/>
      <c r="S34" s="53">
        <v>45312</v>
      </c>
      <c r="T34" s="58">
        <f t="shared" si="3"/>
        <v>2.58</v>
      </c>
      <c r="U34" s="58">
        <f t="shared" si="4"/>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56" hidden="1">
      <c r="A49" s="43">
        <v>3</v>
      </c>
      <c r="B49" s="43" t="str">
        <f>B27</f>
        <v>成都裕鸢航空智能制造股份有限公司</v>
      </c>
      <c r="C49" s="43" t="str">
        <f t="shared" ref="C49:G49" si="5">C27</f>
        <v>成都市新都区市场监督管理局</v>
      </c>
      <c r="D49" s="43" t="str">
        <f t="shared" si="5"/>
        <v>91510108743641634K</v>
      </c>
      <c r="E49" s="43" t="str">
        <f t="shared" si="5"/>
        <v>股份有限公司</v>
      </c>
      <c r="F49" s="43" t="str">
        <f t="shared" si="5"/>
        <v>成都市新都区税务局</v>
      </c>
      <c r="G49" s="43" t="str">
        <f t="shared" si="5"/>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56" hidden="1">
      <c r="A71" s="43">
        <v>4</v>
      </c>
      <c r="B71" s="43" t="str">
        <f>B49</f>
        <v>成都裕鸢航空智能制造股份有限公司</v>
      </c>
      <c r="C71" s="43" t="str">
        <f t="shared" ref="C71:G71" si="6">C49</f>
        <v>成都市新都区市场监督管理局</v>
      </c>
      <c r="D71" s="43" t="str">
        <f t="shared" si="6"/>
        <v>91510108743641634K</v>
      </c>
      <c r="E71" s="43" t="str">
        <f t="shared" si="6"/>
        <v>股份有限公司</v>
      </c>
      <c r="F71" s="43" t="str">
        <f t="shared" si="6"/>
        <v>成都市新都区税务局</v>
      </c>
      <c r="G71" s="43" t="str">
        <f t="shared" si="6"/>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56" hidden="1">
      <c r="A93" s="43">
        <v>5</v>
      </c>
      <c r="B93" s="43" t="str">
        <f>B71</f>
        <v>成都裕鸢航空智能制造股份有限公司</v>
      </c>
      <c r="C93" s="43" t="str">
        <f t="shared" ref="C93:G93" si="7">C71</f>
        <v>成都市新都区市场监督管理局</v>
      </c>
      <c r="D93" s="43" t="str">
        <f t="shared" si="7"/>
        <v>91510108743641634K</v>
      </c>
      <c r="E93" s="43" t="str">
        <f t="shared" si="7"/>
        <v>股份有限公司</v>
      </c>
      <c r="F93" s="43" t="str">
        <f t="shared" si="7"/>
        <v>成都市新都区税务局</v>
      </c>
      <c r="G93" s="43" t="str">
        <f t="shared" si="7"/>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2000</v>
      </c>
      <c r="L115" s="43"/>
      <c r="M115" s="43"/>
      <c r="N115" s="50"/>
      <c r="O115" s="50"/>
      <c r="P115" s="43"/>
      <c r="Q115" s="43"/>
      <c r="R115" s="43"/>
      <c r="S115" s="43"/>
      <c r="T115" s="43"/>
      <c r="U115" s="43"/>
      <c r="V115" s="43"/>
      <c r="W115" s="43"/>
      <c r="X115" s="43"/>
      <c r="Y115" s="43">
        <f>Y93+Y71+Y49+Y27++Y4</f>
        <v>19.43</v>
      </c>
      <c r="Z115" s="43"/>
      <c r="AA115" s="43"/>
      <c r="AB115" s="43"/>
    </row>
    <row r="116" spans="1:28">
      <c r="I116" s="36" t="s">
        <v>49</v>
      </c>
      <c r="K116" s="36">
        <f>IF(K115&gt;3000,K117,K115)</f>
        <v>2000</v>
      </c>
    </row>
    <row r="117" spans="1:28" hidden="1">
      <c r="K117" s="36">
        <f>IF(K116&gt;3000,K118,K116)</f>
        <v>2000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成都工具研究所有限公司审计明细表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98">
      <c r="A4" s="43">
        <v>1</v>
      </c>
      <c r="B4" s="43" t="s">
        <v>611</v>
      </c>
      <c r="C4" s="43" t="s">
        <v>1547</v>
      </c>
      <c r="D4" s="43" t="s">
        <v>1595</v>
      </c>
      <c r="E4" s="43" t="s">
        <v>121</v>
      </c>
      <c r="F4" s="43" t="s">
        <v>1549</v>
      </c>
      <c r="G4" s="43" t="s">
        <v>1572</v>
      </c>
      <c r="H4" s="43" t="s">
        <v>156</v>
      </c>
      <c r="I4" s="43" t="s">
        <v>823</v>
      </c>
      <c r="J4" s="43" t="s">
        <v>168</v>
      </c>
      <c r="K4" s="43">
        <v>3000</v>
      </c>
      <c r="L4" s="43" t="s">
        <v>1596</v>
      </c>
      <c r="M4" s="49" t="s">
        <v>1597</v>
      </c>
      <c r="N4" s="65">
        <v>45098</v>
      </c>
      <c r="O4" s="65">
        <v>45291</v>
      </c>
      <c r="P4" s="43">
        <f>P7-N4</f>
        <v>273</v>
      </c>
      <c r="Q4" s="55">
        <f>SUM(Q5:Q15)</f>
        <v>54.8</v>
      </c>
      <c r="R4" s="55">
        <v>31.89</v>
      </c>
      <c r="S4" s="43"/>
      <c r="T4" s="55">
        <f>SUM(T5:T26)</f>
        <v>54.6</v>
      </c>
      <c r="U4" s="56">
        <v>2.4E-2</v>
      </c>
      <c r="V4" s="50"/>
      <c r="W4" s="43" t="s">
        <v>42</v>
      </c>
      <c r="X4" s="57">
        <v>0.02</v>
      </c>
      <c r="Y4" s="66">
        <f>ROUNDDOWN(IF((O4-N4+1)*K4*X4/365&gt;R4,R4,(O4-N4+1)*K4*X4/365),2)</f>
        <v>31.89</v>
      </c>
      <c r="Z4" s="55">
        <f>R4-Y4</f>
        <v>0</v>
      </c>
      <c r="AA4" s="55"/>
      <c r="AB4" s="43" t="s">
        <v>61</v>
      </c>
    </row>
    <row r="5" spans="1:29" s="35" customFormat="1">
      <c r="A5" s="44"/>
      <c r="B5" s="44"/>
      <c r="C5" s="44"/>
      <c r="D5" s="44"/>
      <c r="E5" s="44"/>
      <c r="F5" s="44"/>
      <c r="G5" s="44"/>
      <c r="H5" s="44"/>
      <c r="I5" s="44"/>
      <c r="J5" s="44"/>
      <c r="K5" s="44"/>
      <c r="L5" s="44"/>
      <c r="M5" s="63"/>
      <c r="N5" s="52"/>
      <c r="O5" s="65">
        <v>45463</v>
      </c>
      <c r="P5" s="53">
        <v>45189</v>
      </c>
      <c r="Q5" s="58">
        <v>18.399999999999999</v>
      </c>
      <c r="R5" s="44"/>
      <c r="S5" s="53">
        <v>45189</v>
      </c>
      <c r="T5" s="58">
        <f>(S5-N4)/360*$U$4*$K$4</f>
        <v>18.2</v>
      </c>
      <c r="U5" s="58">
        <f>T5-Q5</f>
        <v>-0.2</v>
      </c>
      <c r="V5" s="52"/>
      <c r="W5" s="44"/>
      <c r="X5" s="44"/>
      <c r="Y5" s="44"/>
      <c r="Z5" s="44"/>
      <c r="AA5" s="44"/>
      <c r="AB5" s="44"/>
    </row>
    <row r="6" spans="1:29" s="35" customFormat="1">
      <c r="A6" s="44"/>
      <c r="B6" s="44"/>
      <c r="C6" s="44"/>
      <c r="D6" s="44"/>
      <c r="E6" s="44"/>
      <c r="F6" s="44"/>
      <c r="G6" s="44"/>
      <c r="H6" s="44"/>
      <c r="I6" s="44"/>
      <c r="J6" s="44"/>
      <c r="K6" s="44"/>
      <c r="L6" s="44"/>
      <c r="M6" s="63"/>
      <c r="N6" s="52"/>
      <c r="O6" s="53"/>
      <c r="P6" s="53">
        <v>45280</v>
      </c>
      <c r="Q6" s="58">
        <v>18.2</v>
      </c>
      <c r="R6" s="44"/>
      <c r="S6" s="53">
        <v>45280</v>
      </c>
      <c r="T6" s="58">
        <f>(S6-S5)/360*$U$4*$K$4</f>
        <v>18.2</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45371</v>
      </c>
      <c r="Q7" s="58">
        <v>18.2</v>
      </c>
      <c r="R7" s="44"/>
      <c r="S7" s="53">
        <v>45371</v>
      </c>
      <c r="T7" s="58">
        <f>(S7-S6)*$K$4*U4/360</f>
        <v>18.2</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98" hidden="1">
      <c r="A27" s="43">
        <v>2</v>
      </c>
      <c r="B27" s="43" t="str">
        <f>B4</f>
        <v>成都工具研究所有限公司</v>
      </c>
      <c r="C27" s="43" t="str">
        <f t="shared" ref="C27:G27" si="0">C4</f>
        <v>成都市新都区市场监督管理局</v>
      </c>
      <c r="D27" s="43" t="str">
        <f t="shared" si="0"/>
        <v>91510114201959066C</v>
      </c>
      <c r="E27" s="43" t="str">
        <f t="shared" si="0"/>
        <v>其他有限责任公司</v>
      </c>
      <c r="F27" s="43" t="str">
        <f t="shared" si="0"/>
        <v>成都市新都区税务局</v>
      </c>
      <c r="G27" s="43" t="str">
        <f t="shared" si="0"/>
        <v>4402035309000039679中国工商银行成都新都西南石油大学支行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98" hidden="1">
      <c r="A49" s="43">
        <v>3</v>
      </c>
      <c r="B49" s="43" t="str">
        <f>B27</f>
        <v>成都工具研究所有限公司</v>
      </c>
      <c r="C49" s="43" t="str">
        <f t="shared" ref="C49:G49" si="1">C27</f>
        <v>成都市新都区市场监督管理局</v>
      </c>
      <c r="D49" s="43" t="str">
        <f t="shared" si="1"/>
        <v>91510114201959066C</v>
      </c>
      <c r="E49" s="43" t="str">
        <f t="shared" si="1"/>
        <v>其他有限责任公司</v>
      </c>
      <c r="F49" s="43" t="str">
        <f t="shared" si="1"/>
        <v>成都市新都区税务局</v>
      </c>
      <c r="G49" s="43" t="str">
        <f t="shared" si="1"/>
        <v>4402035309000039679中国工商银行成都新都西南石油大学支行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98" hidden="1">
      <c r="A71" s="43">
        <v>4</v>
      </c>
      <c r="B71" s="43" t="str">
        <f>B49</f>
        <v>成都工具研究所有限公司</v>
      </c>
      <c r="C71" s="43" t="str">
        <f t="shared" ref="C71:G71" si="2">C49</f>
        <v>成都市新都区市场监督管理局</v>
      </c>
      <c r="D71" s="43" t="str">
        <f t="shared" si="2"/>
        <v>91510114201959066C</v>
      </c>
      <c r="E71" s="43" t="str">
        <f t="shared" si="2"/>
        <v>其他有限责任公司</v>
      </c>
      <c r="F71" s="43" t="str">
        <f t="shared" si="2"/>
        <v>成都市新都区税务局</v>
      </c>
      <c r="G71" s="43" t="str">
        <f t="shared" si="2"/>
        <v>4402035309000039679中国工商银行成都新都西南石油大学支行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98" hidden="1">
      <c r="A93" s="43">
        <v>5</v>
      </c>
      <c r="B93" s="43" t="str">
        <f>B71</f>
        <v>成都工具研究所有限公司</v>
      </c>
      <c r="C93" s="43" t="str">
        <f t="shared" ref="C93:G93" si="3">C71</f>
        <v>成都市新都区市场监督管理局</v>
      </c>
      <c r="D93" s="43" t="str">
        <f t="shared" si="3"/>
        <v>91510114201959066C</v>
      </c>
      <c r="E93" s="43" t="str">
        <f t="shared" si="3"/>
        <v>其他有限责任公司</v>
      </c>
      <c r="F93" s="43" t="str">
        <f t="shared" si="3"/>
        <v>成都市新都区税务局</v>
      </c>
      <c r="G93" s="43" t="str">
        <f t="shared" si="3"/>
        <v>4402035309000039679中国工商银行成都新都西南石油大学支行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3000</v>
      </c>
      <c r="L115" s="43"/>
      <c r="M115" s="43"/>
      <c r="N115" s="50"/>
      <c r="O115" s="50"/>
      <c r="P115" s="43"/>
      <c r="Q115" s="43"/>
      <c r="R115" s="43"/>
      <c r="S115" s="43"/>
      <c r="T115" s="43"/>
      <c r="U115" s="43"/>
      <c r="V115" s="43"/>
      <c r="W115" s="43"/>
      <c r="X115" s="43"/>
      <c r="Y115" s="43">
        <f>Y93+Y71+Y49+Y27++Y4</f>
        <v>31.89</v>
      </c>
      <c r="Z115" s="43"/>
      <c r="AA115" s="43"/>
      <c r="AB115" s="43"/>
    </row>
    <row r="116" spans="1:28">
      <c r="I116" s="36" t="s">
        <v>49</v>
      </c>
      <c r="K116" s="36">
        <f>IF(K115&gt;3000,K117,K115)</f>
        <v>3000</v>
      </c>
    </row>
    <row r="117" spans="1:28" hidden="1">
      <c r="K117" s="36">
        <f>IF(K116&gt;3000,K118,K116)</f>
        <v>3000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AC117"/>
  <sheetViews>
    <sheetView zoomScale="90" zoomScaleNormal="90" workbookViewId="0">
      <pane ySplit="3" topLeftCell="A4" activePane="bottomLeft" state="frozen"/>
      <selection pane="bottomLeft" activeCell="B7" sqref="B7"/>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0" width="9.5" style="36" customWidth="1"/>
    <col min="21" max="21" width="9" style="36"/>
    <col min="22" max="22" width="11.5" style="36" customWidth="1"/>
    <col min="23" max="28" width="9" style="36"/>
    <col min="29" max="29" width="9" style="36" hidden="1" customWidth="1"/>
    <col min="30" max="16384" width="9" style="36"/>
  </cols>
  <sheetData>
    <row r="1" spans="1:29" ht="25">
      <c r="B1" s="163" t="str">
        <f>B4&amp;AC1</f>
        <v>成都俊马密封科技股份有限公司审计明细表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84">
      <c r="A4" s="43">
        <v>1</v>
      </c>
      <c r="B4" s="43" t="s">
        <v>628</v>
      </c>
      <c r="C4" s="43" t="s">
        <v>1547</v>
      </c>
      <c r="D4" s="43" t="s">
        <v>1598</v>
      </c>
      <c r="E4" s="43" t="s">
        <v>54</v>
      </c>
      <c r="F4" s="43" t="s">
        <v>1549</v>
      </c>
      <c r="G4" s="43" t="s">
        <v>1565</v>
      </c>
      <c r="H4" s="43" t="s">
        <v>71</v>
      </c>
      <c r="I4" s="43" t="s">
        <v>1599</v>
      </c>
      <c r="J4" s="43" t="s">
        <v>228</v>
      </c>
      <c r="K4" s="43">
        <v>800</v>
      </c>
      <c r="L4" s="43" t="s">
        <v>1600</v>
      </c>
      <c r="M4" s="49" t="s">
        <v>1601</v>
      </c>
      <c r="N4" s="65">
        <v>44971</v>
      </c>
      <c r="O4" s="65">
        <v>45158</v>
      </c>
      <c r="P4" s="43">
        <f>P11-N4</f>
        <v>187</v>
      </c>
      <c r="Q4" s="55">
        <f>SUM(Q5:Q26)</f>
        <v>15.15</v>
      </c>
      <c r="R4" s="55">
        <v>6.18</v>
      </c>
      <c r="S4" s="43"/>
      <c r="T4" s="55">
        <f>SUM(T5:T26)</f>
        <v>15.15</v>
      </c>
      <c r="U4" s="56">
        <v>3.6499999999999998E-2</v>
      </c>
      <c r="V4" s="50"/>
      <c r="W4" s="43" t="s">
        <v>42</v>
      </c>
      <c r="X4" s="57">
        <v>1.4999999999999999E-2</v>
      </c>
      <c r="Y4" s="66">
        <f>ROUNDDOWN(IF((O4-N4+1)*K4*X4/365&gt;R4,R4,(O4-N4+1)*K4*X4/365),2)</f>
        <v>6.18</v>
      </c>
      <c r="Z4" s="55">
        <f>R4-Y4</f>
        <v>0</v>
      </c>
      <c r="AA4" s="55"/>
      <c r="AB4" s="43" t="s">
        <v>61</v>
      </c>
    </row>
    <row r="5" spans="1:29" s="35" customFormat="1">
      <c r="A5" s="44"/>
      <c r="B5" s="44"/>
      <c r="C5" s="44"/>
      <c r="D5" s="44"/>
      <c r="E5" s="44"/>
      <c r="F5" s="44"/>
      <c r="G5" s="44"/>
      <c r="H5" s="44"/>
      <c r="I5" s="44"/>
      <c r="J5" s="44"/>
      <c r="K5" s="44"/>
      <c r="L5" s="44"/>
      <c r="M5" s="63"/>
      <c r="N5" s="52"/>
      <c r="O5" s="52"/>
      <c r="P5" s="53">
        <v>44977</v>
      </c>
      <c r="Q5" s="58">
        <v>0.49</v>
      </c>
      <c r="R5" s="44"/>
      <c r="S5" s="53">
        <v>44977</v>
      </c>
      <c r="T5" s="58">
        <f>(S5-N4)/360*$U$4*$K$4</f>
        <v>0.49</v>
      </c>
      <c r="U5" s="58">
        <f>T5-Q5</f>
        <v>0</v>
      </c>
      <c r="V5" s="52"/>
      <c r="W5" s="44"/>
      <c r="X5" s="44"/>
      <c r="Y5" s="62"/>
      <c r="Z5" s="44"/>
      <c r="AA5" s="44"/>
      <c r="AB5" s="44"/>
    </row>
    <row r="6" spans="1:29" s="35" customFormat="1">
      <c r="A6" s="44"/>
      <c r="B6" s="44"/>
      <c r="C6" s="44"/>
      <c r="D6" s="44"/>
      <c r="E6" s="44"/>
      <c r="F6" s="44"/>
      <c r="G6" s="44"/>
      <c r="H6" s="44"/>
      <c r="I6" s="44"/>
      <c r="J6" s="44"/>
      <c r="K6" s="44"/>
      <c r="L6" s="44"/>
      <c r="M6" s="63"/>
      <c r="N6" s="52"/>
      <c r="O6" s="53"/>
      <c r="P6" s="53">
        <v>45005</v>
      </c>
      <c r="Q6" s="58">
        <v>2.27</v>
      </c>
      <c r="R6" s="44"/>
      <c r="S6" s="53">
        <v>45005</v>
      </c>
      <c r="T6" s="58">
        <f>(S6-S5)/360*$U$4*$K$4</f>
        <v>2.27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45036</v>
      </c>
      <c r="Q7" s="58">
        <v>2.5099999999999998</v>
      </c>
      <c r="R7" s="44"/>
      <c r="S7" s="53">
        <v>45036</v>
      </c>
      <c r="T7" s="58">
        <f>(S7-S6)*$K$4*U4/360</f>
        <v>2.5099999999999998</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45066</v>
      </c>
      <c r="Q8" s="58">
        <v>2.4300000000000002</v>
      </c>
      <c r="R8" s="44"/>
      <c r="S8" s="53">
        <v>45066</v>
      </c>
      <c r="T8" s="58">
        <f>(S8-S7)*$K$4*$U$4/360</f>
        <v>2.4300000000000002</v>
      </c>
      <c r="U8" s="58">
        <f t="shared" ref="U8:U11"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45097</v>
      </c>
      <c r="Q9" s="58">
        <v>2.5099999999999998</v>
      </c>
      <c r="R9" s="44"/>
      <c r="S9" s="53">
        <v>45097</v>
      </c>
      <c r="T9" s="58">
        <f>(S9-S8)*$K$4*$U$4/360</f>
        <v>2.5099999999999998</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45127</v>
      </c>
      <c r="Q10" s="58">
        <v>2.4300000000000002</v>
      </c>
      <c r="R10" s="44"/>
      <c r="S10" s="53">
        <v>45127</v>
      </c>
      <c r="T10" s="58">
        <f t="shared" ref="T10:T11" si="1">(S10-S9)*$K$4*$U$4/360</f>
        <v>2.4300000000000002</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45158</v>
      </c>
      <c r="Q11" s="58">
        <v>2.5099999999999998</v>
      </c>
      <c r="R11" s="44"/>
      <c r="S11" s="53">
        <v>45158</v>
      </c>
      <c r="T11" s="58">
        <f t="shared" si="1"/>
        <v>2.5099999999999998</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84">
      <c r="A27" s="43">
        <v>2</v>
      </c>
      <c r="B27" s="43" t="str">
        <f>B4</f>
        <v>成都俊马密封科技股份有限公司</v>
      </c>
      <c r="C27" s="43" t="str">
        <f t="shared" ref="C27:G27" si="2">C4</f>
        <v>成都市新都区市场监督管理局</v>
      </c>
      <c r="D27" s="43" t="str">
        <f t="shared" si="2"/>
        <v>915101142026063346</v>
      </c>
      <c r="E27" s="43" t="str">
        <f t="shared" si="2"/>
        <v>股份有限公司</v>
      </c>
      <c r="F27" s="43" t="str">
        <f t="shared" si="2"/>
        <v>成都市新都区税务局</v>
      </c>
      <c r="G27" s="43" t="str">
        <f t="shared" si="2"/>
        <v>122555928604中国银行成都新都支行</v>
      </c>
      <c r="H27" s="43" t="s">
        <v>71</v>
      </c>
      <c r="I27" s="43" t="s">
        <v>1599</v>
      </c>
      <c r="J27" s="43" t="s">
        <v>228</v>
      </c>
      <c r="K27" s="43">
        <v>780</v>
      </c>
      <c r="L27" s="43" t="s">
        <v>1600</v>
      </c>
      <c r="M27" s="49" t="s">
        <v>1601</v>
      </c>
      <c r="N27" s="65">
        <v>45159</v>
      </c>
      <c r="O27" s="65">
        <v>45291</v>
      </c>
      <c r="P27" s="43">
        <f>P32-N27</f>
        <v>152</v>
      </c>
      <c r="Q27" s="55">
        <f>SUM(Q28:Q38)</f>
        <v>12.09</v>
      </c>
      <c r="R27" s="66">
        <v>4.26</v>
      </c>
      <c r="S27" s="43"/>
      <c r="T27" s="55">
        <f>SUM(T28:T38)</f>
        <v>12.01</v>
      </c>
      <c r="U27" s="56">
        <v>3.6499999999999998E-2</v>
      </c>
      <c r="V27" s="50"/>
      <c r="W27" s="43" t="s">
        <v>42</v>
      </c>
      <c r="X27" s="67">
        <v>1.4999999999999999E-2</v>
      </c>
      <c r="Y27" s="43">
        <f>ROUNDUP(IF((O27-N27+1)*K27*X27/365&gt;R27,R27,(O27-N27+1)*K27*X27/365),2)</f>
        <v>4.26</v>
      </c>
      <c r="Z27" s="55">
        <f>R27-Y27</f>
        <v>0</v>
      </c>
      <c r="AA27" s="55"/>
      <c r="AB27" s="43" t="s">
        <v>1602</v>
      </c>
    </row>
    <row r="28" spans="1:28" s="35" customFormat="1">
      <c r="A28" s="44"/>
      <c r="B28" s="44"/>
      <c r="C28" s="44"/>
      <c r="D28" s="44"/>
      <c r="E28" s="44"/>
      <c r="F28" s="44"/>
      <c r="G28" s="44"/>
      <c r="H28" s="44"/>
      <c r="I28" s="44"/>
      <c r="J28" s="44"/>
      <c r="K28" s="44"/>
      <c r="L28" s="44"/>
      <c r="M28" s="44"/>
      <c r="N28" s="52"/>
      <c r="O28" s="65">
        <v>45517</v>
      </c>
      <c r="P28" s="53">
        <v>45189</v>
      </c>
      <c r="Q28" s="58">
        <v>2.4500000000000002</v>
      </c>
      <c r="R28" s="44"/>
      <c r="S28" s="53">
        <v>45189</v>
      </c>
      <c r="T28" s="58">
        <f>(S28-N27)/360*$U$27*$K$27</f>
        <v>2.37</v>
      </c>
      <c r="U28" s="58">
        <f>T28-Q28</f>
        <v>-0.08</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45219</v>
      </c>
      <c r="Q29" s="58">
        <v>2.37</v>
      </c>
      <c r="R29" s="44"/>
      <c r="S29" s="53">
        <v>45219</v>
      </c>
      <c r="T29" s="58">
        <f t="shared" ref="T29:T34" si="3">(S29-S28)*$K$27*$U$27/360</f>
        <v>2.37</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45250</v>
      </c>
      <c r="Q30" s="58">
        <v>2.4500000000000002</v>
      </c>
      <c r="R30" s="44"/>
      <c r="S30" s="53">
        <v>45250</v>
      </c>
      <c r="T30" s="58">
        <f t="shared" si="3"/>
        <v>2.4500000000000002</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45280</v>
      </c>
      <c r="Q31" s="58">
        <v>2.37</v>
      </c>
      <c r="R31" s="44"/>
      <c r="S31" s="53">
        <v>45280</v>
      </c>
      <c r="T31" s="58">
        <f t="shared" si="3"/>
        <v>2.37</v>
      </c>
      <c r="U31" s="58">
        <f t="shared" ref="U31:U34"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45311</v>
      </c>
      <c r="Q32" s="58">
        <v>2.4500000000000002</v>
      </c>
      <c r="R32" s="44"/>
      <c r="S32" s="53">
        <v>45311</v>
      </c>
      <c r="T32" s="58">
        <f t="shared" si="3"/>
        <v>2.4500000000000002</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c r="Q34" s="58"/>
      <c r="R34" s="44"/>
      <c r="S34" s="53"/>
      <c r="T34" s="58">
        <f t="shared" si="3"/>
        <v>0</v>
      </c>
      <c r="U34" s="58">
        <f t="shared" si="4"/>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56" hidden="1">
      <c r="A49" s="43">
        <v>3</v>
      </c>
      <c r="B49" s="43" t="str">
        <f>B27</f>
        <v>成都俊马密封科技股份有限公司</v>
      </c>
      <c r="C49" s="43" t="str">
        <f t="shared" ref="C49:G49" si="5">C27</f>
        <v>成都市新都区市场监督管理局</v>
      </c>
      <c r="D49" s="43" t="str">
        <f t="shared" si="5"/>
        <v>915101142026063346</v>
      </c>
      <c r="E49" s="43" t="str">
        <f t="shared" si="5"/>
        <v>股份有限公司</v>
      </c>
      <c r="F49" s="43" t="str">
        <f t="shared" si="5"/>
        <v>成都市新都区税务局</v>
      </c>
      <c r="G49" s="43" t="str">
        <f t="shared" si="5"/>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56" hidden="1">
      <c r="A71" s="43">
        <v>4</v>
      </c>
      <c r="B71" s="43" t="str">
        <f>B49</f>
        <v>成都俊马密封科技股份有限公司</v>
      </c>
      <c r="C71" s="43" t="str">
        <f t="shared" ref="C71:G71" si="6">C49</f>
        <v>成都市新都区市场监督管理局</v>
      </c>
      <c r="D71" s="43" t="str">
        <f t="shared" si="6"/>
        <v>915101142026063346</v>
      </c>
      <c r="E71" s="43" t="str">
        <f t="shared" si="6"/>
        <v>股份有限公司</v>
      </c>
      <c r="F71" s="43" t="str">
        <f t="shared" si="6"/>
        <v>成都市新都区税务局</v>
      </c>
      <c r="G71" s="43" t="str">
        <f t="shared" si="6"/>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56" hidden="1">
      <c r="A93" s="43">
        <v>5</v>
      </c>
      <c r="B93" s="43" t="str">
        <f>B71</f>
        <v>成都俊马密封科技股份有限公司</v>
      </c>
      <c r="C93" s="43" t="str">
        <f t="shared" ref="C93:G93" si="7">C71</f>
        <v>成都市新都区市场监督管理局</v>
      </c>
      <c r="D93" s="43" t="str">
        <f t="shared" si="7"/>
        <v>915101142026063346</v>
      </c>
      <c r="E93" s="43" t="str">
        <f t="shared" si="7"/>
        <v>股份有限公司</v>
      </c>
      <c r="F93" s="43" t="str">
        <f t="shared" si="7"/>
        <v>成都市新都区税务局</v>
      </c>
      <c r="G93" s="43" t="str">
        <f t="shared" si="7"/>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1580</v>
      </c>
      <c r="L115" s="43"/>
      <c r="M115" s="43"/>
      <c r="N115" s="50"/>
      <c r="O115" s="50"/>
      <c r="P115" s="43"/>
      <c r="Q115" s="43"/>
      <c r="R115" s="43"/>
      <c r="S115" s="43"/>
      <c r="T115" s="43"/>
      <c r="U115" s="43"/>
      <c r="V115" s="43"/>
      <c r="W115" s="43"/>
      <c r="X115" s="43"/>
      <c r="Y115" s="43">
        <f>Y93+Y71+Y49+Y27++Y4</f>
        <v>10.44</v>
      </c>
      <c r="Z115" s="43"/>
      <c r="AA115" s="43"/>
      <c r="AB115" s="43"/>
    </row>
    <row r="116" spans="1:28">
      <c r="I116" s="36" t="s">
        <v>49</v>
      </c>
      <c r="K116" s="36">
        <f>IF(K115&gt;3000,K117,K115)</f>
        <v>1580</v>
      </c>
    </row>
    <row r="117" spans="1:28" hidden="1">
      <c r="K117" s="36">
        <f>IF(K116&gt;3000,K118,K116)</f>
        <v>1580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AC117"/>
  <sheetViews>
    <sheetView topLeftCell="O1" workbookViewId="0">
      <pane ySplit="3" topLeftCell="A27" activePane="bottomLeft" state="frozen"/>
      <selection pane="bottomLeft" activeCell="N27" sqref="N27:AB27"/>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0" width="9.5" style="36" customWidth="1"/>
    <col min="21" max="21" width="9" style="36"/>
    <col min="22" max="22" width="11.5" style="36" customWidth="1"/>
    <col min="23" max="28" width="9" style="36"/>
    <col min="29" max="29" width="9" style="36" hidden="1" customWidth="1"/>
    <col min="30" max="16384" width="9" style="36"/>
  </cols>
  <sheetData>
    <row r="1" spans="1:29" ht="25">
      <c r="B1" s="163" t="str">
        <f>B4&amp;AC1</f>
        <v>成都航新航空装备科技有限公司审计明细表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84">
      <c r="A4" s="43">
        <v>1</v>
      </c>
      <c r="B4" s="43" t="s">
        <v>616</v>
      </c>
      <c r="C4" s="43" t="s">
        <v>1547</v>
      </c>
      <c r="D4" s="43" t="s">
        <v>1603</v>
      </c>
      <c r="E4" s="43" t="s">
        <v>1604</v>
      </c>
      <c r="F4" s="43" t="s">
        <v>1549</v>
      </c>
      <c r="G4" s="43" t="s">
        <v>1565</v>
      </c>
      <c r="H4" s="43" t="s">
        <v>71</v>
      </c>
      <c r="I4" s="43" t="s">
        <v>450</v>
      </c>
      <c r="J4" s="43" t="s">
        <v>73</v>
      </c>
      <c r="K4" s="43">
        <v>1000</v>
      </c>
      <c r="L4" s="43" t="s">
        <v>1605</v>
      </c>
      <c r="M4" s="49" t="s">
        <v>1606</v>
      </c>
      <c r="N4" s="65">
        <v>44938</v>
      </c>
      <c r="O4" s="65">
        <v>45291</v>
      </c>
      <c r="P4" s="43">
        <f>P16-N4</f>
        <v>364</v>
      </c>
      <c r="Q4" s="55">
        <f>SUM(Q5:Q26)</f>
        <v>36.86</v>
      </c>
      <c r="R4" s="55">
        <v>14.13</v>
      </c>
      <c r="S4" s="43"/>
      <c r="T4" s="55">
        <f>SUM(T5:T26)</f>
        <v>36.89</v>
      </c>
      <c r="U4" s="56">
        <v>3.6499999999999998E-2</v>
      </c>
      <c r="V4" s="50"/>
      <c r="W4" s="43" t="s">
        <v>42</v>
      </c>
      <c r="X4" s="57">
        <v>1.4999999999999999E-2</v>
      </c>
      <c r="Y4" s="66">
        <f>ROUNDDOWN(IF((O4-N4+1)*K4*X4/365&gt;R4,R4,(O4-N4+1)*K4*X4/365),2)</f>
        <v>14.13</v>
      </c>
      <c r="Z4" s="55">
        <f>R4-Y4</f>
        <v>0</v>
      </c>
      <c r="AA4" s="55"/>
      <c r="AB4" s="43" t="s">
        <v>61</v>
      </c>
    </row>
    <row r="5" spans="1:29" s="35" customFormat="1">
      <c r="A5" s="44"/>
      <c r="B5" s="44"/>
      <c r="C5" s="44"/>
      <c r="D5" s="44"/>
      <c r="E5" s="44"/>
      <c r="F5" s="44"/>
      <c r="G5" s="44"/>
      <c r="H5" s="44"/>
      <c r="I5" s="44"/>
      <c r="J5" s="44"/>
      <c r="K5" s="44"/>
      <c r="L5" s="44"/>
      <c r="M5" s="63"/>
      <c r="N5" s="52"/>
      <c r="O5" s="65">
        <v>45302</v>
      </c>
      <c r="P5" s="53">
        <v>44978</v>
      </c>
      <c r="Q5" s="58">
        <v>4.05</v>
      </c>
      <c r="R5" s="44"/>
      <c r="S5" s="53">
        <v>44978</v>
      </c>
      <c r="T5" s="58">
        <f>(S5-N4)/360*$U$4*$K$4</f>
        <v>4.0599999999999996</v>
      </c>
      <c r="U5" s="58">
        <f>T5-Q5</f>
        <v>0.01</v>
      </c>
      <c r="V5" s="52"/>
      <c r="W5" s="44"/>
      <c r="X5" s="44"/>
      <c r="Y5" s="62"/>
      <c r="Z5" s="44"/>
      <c r="AA5" s="44"/>
      <c r="AB5" s="44"/>
    </row>
    <row r="6" spans="1:29" s="35" customFormat="1">
      <c r="A6" s="44"/>
      <c r="B6" s="44"/>
      <c r="C6" s="44"/>
      <c r="D6" s="44"/>
      <c r="E6" s="44"/>
      <c r="F6" s="44"/>
      <c r="G6" s="44"/>
      <c r="H6" s="44"/>
      <c r="I6" s="44"/>
      <c r="J6" s="44"/>
      <c r="K6" s="44"/>
      <c r="L6" s="44"/>
      <c r="M6" s="63"/>
      <c r="N6" s="52"/>
      <c r="O6" s="53"/>
      <c r="P6" s="53">
        <v>45006</v>
      </c>
      <c r="Q6" s="58">
        <v>2.83</v>
      </c>
      <c r="R6" s="44"/>
      <c r="S6" s="53">
        <v>45006</v>
      </c>
      <c r="T6" s="58">
        <f>(S6-S5)/360*$U$4*$K$4</f>
        <v>2.84</v>
      </c>
      <c r="U6" s="58">
        <f>T6-Q6</f>
        <v>0.01</v>
      </c>
      <c r="V6" s="52"/>
      <c r="W6" s="44"/>
      <c r="X6" s="44"/>
      <c r="Y6" s="44"/>
      <c r="Z6" s="44"/>
      <c r="AA6" s="44"/>
      <c r="AB6" s="44"/>
    </row>
    <row r="7" spans="1:29" s="35" customFormat="1">
      <c r="A7" s="44"/>
      <c r="B7" s="44"/>
      <c r="C7" s="44"/>
      <c r="D7" s="44"/>
      <c r="E7" s="44"/>
      <c r="F7" s="44"/>
      <c r="G7" s="44"/>
      <c r="H7" s="44"/>
      <c r="I7" s="44"/>
      <c r="J7" s="44"/>
      <c r="K7" s="44"/>
      <c r="L7" s="44"/>
      <c r="M7" s="44"/>
      <c r="N7" s="52"/>
      <c r="O7" s="53"/>
      <c r="P7" s="53">
        <v>45037</v>
      </c>
      <c r="Q7" s="58">
        <v>3.14</v>
      </c>
      <c r="R7" s="44"/>
      <c r="S7" s="53">
        <v>45037</v>
      </c>
      <c r="T7" s="58">
        <f>(S7-S6)*$K$4*U4/360</f>
        <v>3.14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45067</v>
      </c>
      <c r="Q8" s="58">
        <v>3.04</v>
      </c>
      <c r="R8" s="44"/>
      <c r="S8" s="53">
        <v>45067</v>
      </c>
      <c r="T8" s="58">
        <f>(S8-S7)*$K$4*$U$4/360</f>
        <v>3.04</v>
      </c>
      <c r="U8" s="58">
        <f t="shared" ref="U8:U16"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45098</v>
      </c>
      <c r="Q9" s="58">
        <v>3.14</v>
      </c>
      <c r="R9" s="44"/>
      <c r="S9" s="53">
        <v>45098</v>
      </c>
      <c r="T9" s="58">
        <f>(S9-S8)*$K$4*$U$4/360</f>
        <v>3.14</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45128</v>
      </c>
      <c r="Q10" s="58">
        <v>3.04</v>
      </c>
      <c r="R10" s="44"/>
      <c r="S10" s="53">
        <v>45128</v>
      </c>
      <c r="T10" s="58">
        <f t="shared" ref="T10:T16" si="1">(S10-S9)*$K$4*$U$4/360</f>
        <v>3.04</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45159</v>
      </c>
      <c r="Q11" s="58">
        <v>3.14</v>
      </c>
      <c r="R11" s="44"/>
      <c r="S11" s="53">
        <v>45159</v>
      </c>
      <c r="T11" s="58">
        <f t="shared" si="1"/>
        <v>3.14</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45190</v>
      </c>
      <c r="Q12" s="58">
        <v>3.14</v>
      </c>
      <c r="R12" s="44"/>
      <c r="S12" s="53">
        <v>45190</v>
      </c>
      <c r="T12" s="58">
        <f t="shared" si="1"/>
        <v>3.14</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45220</v>
      </c>
      <c r="Q13" s="58">
        <v>3.04</v>
      </c>
      <c r="R13" s="44"/>
      <c r="S13" s="53">
        <v>45220</v>
      </c>
      <c r="T13" s="58">
        <f t="shared" si="1"/>
        <v>3.04</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45251</v>
      </c>
      <c r="Q14" s="58">
        <v>3.14</v>
      </c>
      <c r="R14" s="44"/>
      <c r="S14" s="53">
        <v>45251</v>
      </c>
      <c r="T14" s="58">
        <f t="shared" si="1"/>
        <v>3.14</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45281</v>
      </c>
      <c r="Q15" s="58">
        <v>3.04</v>
      </c>
      <c r="R15" s="44"/>
      <c r="S15" s="53">
        <v>45281</v>
      </c>
      <c r="T15" s="58">
        <f t="shared" si="1"/>
        <v>3.04</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45302</v>
      </c>
      <c r="Q16" s="58">
        <v>2.12</v>
      </c>
      <c r="R16" s="44"/>
      <c r="S16" s="53">
        <v>45302</v>
      </c>
      <c r="T16" s="58">
        <f t="shared" si="1"/>
        <v>2.13</v>
      </c>
      <c r="U16" s="58">
        <f t="shared" si="0"/>
        <v>0.01</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84">
      <c r="A27" s="43">
        <v>2</v>
      </c>
      <c r="B27" s="43" t="str">
        <f>B4</f>
        <v>成都航新航空装备科技有限公司</v>
      </c>
      <c r="C27" s="43" t="str">
        <f t="shared" ref="C27:G27" si="2">C4</f>
        <v>成都市新都区市场监督管理局</v>
      </c>
      <c r="D27" s="43" t="str">
        <f t="shared" si="2"/>
        <v>91510114MA61RPDB75</v>
      </c>
      <c r="E27" s="43" t="str">
        <f t="shared" si="2"/>
        <v>有限责任公司（自然人投资或控股的法人独资）</v>
      </c>
      <c r="F27" s="43" t="str">
        <f t="shared" si="2"/>
        <v>成都市新都区税务局</v>
      </c>
      <c r="G27" s="43" t="str">
        <f t="shared" si="2"/>
        <v>122555928604中国银行成都新都支行</v>
      </c>
      <c r="H27" s="43" t="s">
        <v>156</v>
      </c>
      <c r="I27" s="43" t="s">
        <v>450</v>
      </c>
      <c r="J27" s="43" t="s">
        <v>73</v>
      </c>
      <c r="K27" s="43">
        <v>2000</v>
      </c>
      <c r="L27" s="43" t="s">
        <v>1607</v>
      </c>
      <c r="M27" s="49" t="s">
        <v>1608</v>
      </c>
      <c r="N27" s="65">
        <v>44890</v>
      </c>
      <c r="O27" s="65">
        <v>45246</v>
      </c>
      <c r="P27" s="43">
        <f>P39-N27</f>
        <v>356</v>
      </c>
      <c r="Q27" s="55">
        <f>SUM(Q28:Q39)</f>
        <v>72.13</v>
      </c>
      <c r="R27" s="66">
        <v>39.119999999999997</v>
      </c>
      <c r="S27" s="43"/>
      <c r="T27" s="55">
        <f>SUM(T28:T38)</f>
        <v>66.930000000000007</v>
      </c>
      <c r="U27" s="56">
        <v>3.6499999999999998E-2</v>
      </c>
      <c r="V27" s="50"/>
      <c r="W27" s="43" t="s">
        <v>1609</v>
      </c>
      <c r="X27" s="67">
        <v>0.02</v>
      </c>
      <c r="Y27" s="43">
        <f>ROUNDUP(IF((O27-N27+1)*K27*X27/365&gt;R27,R27,(O27-N27+1)*K27*X27/365),2)</f>
        <v>39.119999999999997</v>
      </c>
      <c r="Z27" s="55">
        <f>R27-Y27</f>
        <v>0</v>
      </c>
      <c r="AA27" s="55"/>
      <c r="AB27" s="43" t="s">
        <v>61</v>
      </c>
    </row>
    <row r="28" spans="1:28" s="35" customFormat="1">
      <c r="A28" s="44"/>
      <c r="B28" s="44"/>
      <c r="C28" s="44"/>
      <c r="D28" s="44"/>
      <c r="E28" s="44"/>
      <c r="F28" s="44"/>
      <c r="G28" s="44"/>
      <c r="H28" s="44"/>
      <c r="I28" s="44"/>
      <c r="J28" s="44"/>
      <c r="K28" s="44"/>
      <c r="L28" s="44"/>
      <c r="M28" s="44"/>
      <c r="N28" s="52"/>
      <c r="O28" s="52"/>
      <c r="P28" s="53">
        <v>44916</v>
      </c>
      <c r="Q28" s="58">
        <v>5.27</v>
      </c>
      <c r="R28" s="44"/>
      <c r="S28" s="53">
        <v>44916</v>
      </c>
      <c r="T28" s="58">
        <f>(S28-N27)/360*$U$27*$K$27</f>
        <v>5.27</v>
      </c>
      <c r="U28" s="58">
        <f>T28-Q28</f>
        <v>0</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44947</v>
      </c>
      <c r="Q29" s="58">
        <v>6.28</v>
      </c>
      <c r="R29" s="44"/>
      <c r="S29" s="53">
        <v>44947</v>
      </c>
      <c r="T29" s="58">
        <f t="shared" ref="T29:T39" si="3">(S29-S28)*$K$27*$U$27/360</f>
        <v>6.29</v>
      </c>
      <c r="U29" s="58">
        <f>T29-Q29</f>
        <v>0.01</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44978</v>
      </c>
      <c r="Q30" s="58">
        <v>6.28</v>
      </c>
      <c r="R30" s="44"/>
      <c r="S30" s="53">
        <v>44978</v>
      </c>
      <c r="T30" s="58">
        <f t="shared" si="3"/>
        <v>6.29</v>
      </c>
      <c r="U30" s="58">
        <f>T30-Q30</f>
        <v>0.01</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45006</v>
      </c>
      <c r="Q31" s="58">
        <v>5.67</v>
      </c>
      <c r="R31" s="44"/>
      <c r="S31" s="53">
        <v>45006</v>
      </c>
      <c r="T31" s="58">
        <f t="shared" si="3"/>
        <v>5.68</v>
      </c>
      <c r="U31" s="58">
        <f t="shared" ref="U31:U39" si="4">T31-Q31</f>
        <v>0.01</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45037</v>
      </c>
      <c r="Q32" s="58">
        <v>6.28</v>
      </c>
      <c r="R32" s="44"/>
      <c r="S32" s="53">
        <v>45037</v>
      </c>
      <c r="T32" s="58">
        <f t="shared" si="3"/>
        <v>6.29</v>
      </c>
      <c r="U32" s="58">
        <f t="shared" si="4"/>
        <v>0.01</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45067</v>
      </c>
      <c r="Q33" s="58">
        <v>6.08</v>
      </c>
      <c r="R33" s="44"/>
      <c r="S33" s="53">
        <v>45067</v>
      </c>
      <c r="T33" s="58">
        <f t="shared" si="3"/>
        <v>6.08</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45098</v>
      </c>
      <c r="Q34" s="58">
        <v>6.28</v>
      </c>
      <c r="R34" s="44"/>
      <c r="S34" s="53">
        <v>45098</v>
      </c>
      <c r="T34" s="58">
        <f t="shared" si="3"/>
        <v>6.29</v>
      </c>
      <c r="U34" s="58">
        <f t="shared" si="4"/>
        <v>0.01</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45128</v>
      </c>
      <c r="Q35" s="58">
        <v>6.08</v>
      </c>
      <c r="R35" s="44"/>
      <c r="S35" s="53">
        <v>45128</v>
      </c>
      <c r="T35" s="58">
        <f t="shared" si="3"/>
        <v>6.08</v>
      </c>
      <c r="U35" s="58">
        <f t="shared" si="4"/>
        <v>0</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45159</v>
      </c>
      <c r="Q36" s="58">
        <v>6.28</v>
      </c>
      <c r="R36" s="44"/>
      <c r="S36" s="53">
        <v>45159</v>
      </c>
      <c r="T36" s="58">
        <f t="shared" si="3"/>
        <v>6.29</v>
      </c>
      <c r="U36" s="58">
        <f t="shared" si="4"/>
        <v>0.01</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45190</v>
      </c>
      <c r="Q37" s="58">
        <v>6.28</v>
      </c>
      <c r="R37" s="44"/>
      <c r="S37" s="53">
        <v>45190</v>
      </c>
      <c r="T37" s="58">
        <f t="shared" si="3"/>
        <v>6.29</v>
      </c>
      <c r="U37" s="58">
        <f t="shared" si="4"/>
        <v>0.01</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45220</v>
      </c>
      <c r="Q38" s="58">
        <v>6.08</v>
      </c>
      <c r="R38" s="44"/>
      <c r="S38" s="53">
        <v>45220</v>
      </c>
      <c r="T38" s="58">
        <f t="shared" si="3"/>
        <v>6.08</v>
      </c>
      <c r="U38" s="58">
        <f t="shared" si="4"/>
        <v>0</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v>45246</v>
      </c>
      <c r="Q39" s="58">
        <v>5.27</v>
      </c>
      <c r="R39" s="44"/>
      <c r="S39" s="53">
        <v>45246</v>
      </c>
      <c r="T39" s="58">
        <f t="shared" si="3"/>
        <v>5.27</v>
      </c>
      <c r="U39" s="58">
        <f t="shared" si="4"/>
        <v>0</v>
      </c>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84" hidden="1">
      <c r="A49" s="43">
        <v>3</v>
      </c>
      <c r="B49" s="43" t="str">
        <f>B27</f>
        <v>成都航新航空装备科技有限公司</v>
      </c>
      <c r="C49" s="43" t="str">
        <f t="shared" ref="C49:G49" si="5">C27</f>
        <v>成都市新都区市场监督管理局</v>
      </c>
      <c r="D49" s="43" t="str">
        <f t="shared" si="5"/>
        <v>91510114MA61RPDB75</v>
      </c>
      <c r="E49" s="43" t="str">
        <f t="shared" si="5"/>
        <v>有限责任公司（自然人投资或控股的法人独资）</v>
      </c>
      <c r="F49" s="43" t="str">
        <f t="shared" si="5"/>
        <v>成都市新都区税务局</v>
      </c>
      <c r="G49" s="43" t="str">
        <f t="shared" si="5"/>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84" hidden="1">
      <c r="A71" s="43">
        <v>4</v>
      </c>
      <c r="B71" s="43" t="str">
        <f>B49</f>
        <v>成都航新航空装备科技有限公司</v>
      </c>
      <c r="C71" s="43" t="str">
        <f t="shared" ref="C71:G71" si="6">C49</f>
        <v>成都市新都区市场监督管理局</v>
      </c>
      <c r="D71" s="43" t="str">
        <f t="shared" si="6"/>
        <v>91510114MA61RPDB75</v>
      </c>
      <c r="E71" s="43" t="str">
        <f t="shared" si="6"/>
        <v>有限责任公司（自然人投资或控股的法人独资）</v>
      </c>
      <c r="F71" s="43" t="str">
        <f t="shared" si="6"/>
        <v>成都市新都区税务局</v>
      </c>
      <c r="G71" s="43" t="str">
        <f t="shared" si="6"/>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84" hidden="1">
      <c r="A93" s="43">
        <v>5</v>
      </c>
      <c r="B93" s="43" t="str">
        <f>B71</f>
        <v>成都航新航空装备科技有限公司</v>
      </c>
      <c r="C93" s="43" t="str">
        <f t="shared" ref="C93:G93" si="7">C71</f>
        <v>成都市新都区市场监督管理局</v>
      </c>
      <c r="D93" s="43" t="str">
        <f t="shared" si="7"/>
        <v>91510114MA61RPDB75</v>
      </c>
      <c r="E93" s="43" t="str">
        <f t="shared" si="7"/>
        <v>有限责任公司（自然人投资或控股的法人独资）</v>
      </c>
      <c r="F93" s="43" t="str">
        <f t="shared" si="7"/>
        <v>成都市新都区税务局</v>
      </c>
      <c r="G93" s="43" t="str">
        <f t="shared" si="7"/>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3000</v>
      </c>
      <c r="L115" s="43"/>
      <c r="M115" s="43"/>
      <c r="N115" s="50"/>
      <c r="O115" s="50"/>
      <c r="P115" s="43"/>
      <c r="Q115" s="43"/>
      <c r="R115" s="43"/>
      <c r="S115" s="43"/>
      <c r="T115" s="43"/>
      <c r="U115" s="43"/>
      <c r="V115" s="43"/>
      <c r="W115" s="43"/>
      <c r="X115" s="43"/>
      <c r="Y115" s="43">
        <f>Y93+Y71+Y49+Y27++Y4</f>
        <v>53.25</v>
      </c>
      <c r="Z115" s="43"/>
      <c r="AA115" s="43"/>
      <c r="AB115" s="43"/>
    </row>
    <row r="116" spans="1:28">
      <c r="I116" s="36" t="s">
        <v>49</v>
      </c>
      <c r="K116" s="36">
        <f>IF(K115&gt;3000,K117,K115)</f>
        <v>3000</v>
      </c>
    </row>
    <row r="117" spans="1:28" hidden="1">
      <c r="K117" s="36">
        <f>IF(K116&gt;3000,K118,K116)</f>
        <v>3000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AC117"/>
  <sheetViews>
    <sheetView topLeftCell="O1"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四川骏腾宇航科技有限公司审计明细表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98">
      <c r="A4" s="43">
        <v>1</v>
      </c>
      <c r="B4" s="43" t="s">
        <v>707</v>
      </c>
      <c r="C4" s="43" t="s">
        <v>1547</v>
      </c>
      <c r="D4" s="43" t="s">
        <v>1610</v>
      </c>
      <c r="E4" s="43" t="s">
        <v>246</v>
      </c>
      <c r="F4" s="43" t="s">
        <v>1549</v>
      </c>
      <c r="G4" s="43" t="s">
        <v>1572</v>
      </c>
      <c r="H4" s="43" t="s">
        <v>958</v>
      </c>
      <c r="I4" s="43" t="s">
        <v>1599</v>
      </c>
      <c r="J4" s="43" t="s">
        <v>168</v>
      </c>
      <c r="K4" s="43">
        <v>200</v>
      </c>
      <c r="L4" s="43" t="s">
        <v>1611</v>
      </c>
      <c r="M4" s="49" t="s">
        <v>1612</v>
      </c>
      <c r="N4" s="65">
        <v>44915</v>
      </c>
      <c r="O4" s="65">
        <v>45271</v>
      </c>
      <c r="P4" s="43">
        <f>P16-N4</f>
        <v>356</v>
      </c>
      <c r="Q4" s="55">
        <f>SUM(Q5:Q114)</f>
        <v>7.93</v>
      </c>
      <c r="R4" s="55">
        <v>2</v>
      </c>
      <c r="S4" s="43"/>
      <c r="T4" s="55">
        <f>SUM(T5:T26)</f>
        <v>7.93</v>
      </c>
      <c r="U4" s="56">
        <v>0.04</v>
      </c>
      <c r="V4" s="50"/>
      <c r="W4" s="43" t="s">
        <v>1613</v>
      </c>
      <c r="X4" s="57">
        <v>0.01</v>
      </c>
      <c r="Y4" s="66">
        <f>ROUNDDOWN(IF((O4-N4+1)*K4*X4/365&gt;R4,R4,(O4-N4+1)*K4*X4/365),2)</f>
        <v>1.95</v>
      </c>
      <c r="Z4" s="55">
        <f>R4-Y4</f>
        <v>0.05</v>
      </c>
      <c r="AA4" s="55" t="s">
        <v>108</v>
      </c>
      <c r="AB4" s="43" t="s">
        <v>61</v>
      </c>
    </row>
    <row r="5" spans="1:29" s="35" customFormat="1" ht="28">
      <c r="A5" s="44"/>
      <c r="B5" s="44"/>
      <c r="C5" s="44"/>
      <c r="D5" s="44"/>
      <c r="E5" s="44"/>
      <c r="F5" s="44"/>
      <c r="G5" s="44"/>
      <c r="H5" s="44"/>
      <c r="I5" s="44"/>
      <c r="J5" s="44"/>
      <c r="K5" s="44"/>
      <c r="L5" s="44"/>
      <c r="M5" s="63" t="s">
        <v>1239</v>
      </c>
      <c r="N5" s="52"/>
      <c r="O5" s="52"/>
      <c r="P5" s="53">
        <v>44946</v>
      </c>
      <c r="Q5" s="58">
        <v>0.69</v>
      </c>
      <c r="R5" s="44"/>
      <c r="S5" s="53">
        <v>44946</v>
      </c>
      <c r="T5" s="58">
        <f>(S5-N4)/360*$U$4*$K$4</f>
        <v>0.69</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0.69</v>
      </c>
      <c r="R6" s="44"/>
      <c r="S6" s="53">
        <v>44977</v>
      </c>
      <c r="T6" s="58">
        <f>(S6-S5)/360*$U$4*$K$4</f>
        <v>0.69</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45005</v>
      </c>
      <c r="Q7" s="58">
        <v>0.62</v>
      </c>
      <c r="R7" s="44"/>
      <c r="S7" s="53">
        <v>45005</v>
      </c>
      <c r="T7" s="58">
        <f>(S7-S6)*$K$4*U4/360</f>
        <v>0.62</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0.69</v>
      </c>
      <c r="R8" s="44"/>
      <c r="S8" s="53">
        <v>45036</v>
      </c>
      <c r="T8" s="58">
        <f>(S8-S7)*$K$4*$U$4/360</f>
        <v>0.69</v>
      </c>
      <c r="U8" s="58">
        <f t="shared" ref="U8:U16"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0.67</v>
      </c>
      <c r="R9" s="44"/>
      <c r="S9" s="53">
        <v>45066</v>
      </c>
      <c r="T9" s="58">
        <f t="shared" ref="T9:T16" si="1">(S9-S8)*$K$4*$U$4/360</f>
        <v>0.67</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0.69</v>
      </c>
      <c r="R10" s="44"/>
      <c r="S10" s="53">
        <v>45097</v>
      </c>
      <c r="T10" s="58">
        <f t="shared" si="1"/>
        <v>0.69</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0.67</v>
      </c>
      <c r="R11" s="44"/>
      <c r="S11" s="53">
        <v>45127</v>
      </c>
      <c r="T11" s="58">
        <f t="shared" si="1"/>
        <v>0.67</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0.69</v>
      </c>
      <c r="R12" s="44"/>
      <c r="S12" s="53">
        <v>45158</v>
      </c>
      <c r="T12" s="58">
        <f t="shared" si="1"/>
        <v>0.69</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0.69</v>
      </c>
      <c r="R13" s="44"/>
      <c r="S13" s="53">
        <v>45189</v>
      </c>
      <c r="T13" s="58">
        <f t="shared" si="1"/>
        <v>0.69</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0.67</v>
      </c>
      <c r="R14" s="44"/>
      <c r="S14" s="53">
        <v>45219</v>
      </c>
      <c r="T14" s="58">
        <f t="shared" si="1"/>
        <v>0.67</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0.69</v>
      </c>
      <c r="R15" s="44"/>
      <c r="S15" s="53">
        <v>45250</v>
      </c>
      <c r="T15" s="58">
        <f t="shared" si="1"/>
        <v>0.69</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45271</v>
      </c>
      <c r="Q16" s="58">
        <v>0.47</v>
      </c>
      <c r="R16" s="44"/>
      <c r="S16" s="53">
        <v>45271</v>
      </c>
      <c r="T16" s="58">
        <f t="shared" si="1"/>
        <v>0.47</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98" hidden="1">
      <c r="A27" s="43">
        <v>2</v>
      </c>
      <c r="B27" s="43" t="str">
        <f>B4</f>
        <v>四川骏腾宇航科技有限公司</v>
      </c>
      <c r="C27" s="43" t="str">
        <f t="shared" ref="C27:G27" si="2">C4</f>
        <v>成都市新都区市场监督管理局</v>
      </c>
      <c r="D27" s="43" t="str">
        <f t="shared" si="2"/>
        <v>91510125MA6ABJKG71</v>
      </c>
      <c r="E27" s="43" t="str">
        <f t="shared" si="2"/>
        <v>有限责任公司（自然人投资或控股）</v>
      </c>
      <c r="F27" s="43" t="str">
        <f t="shared" si="2"/>
        <v>成都市新都区税务局</v>
      </c>
      <c r="G27" s="43" t="str">
        <f t="shared" si="2"/>
        <v>4402035309000039679中国工商银行成都新都西南石油大学支行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98" hidden="1">
      <c r="A49" s="43">
        <v>3</v>
      </c>
      <c r="B49" s="43" t="str">
        <f>B27</f>
        <v>四川骏腾宇航科技有限公司</v>
      </c>
      <c r="C49" s="43" t="str">
        <f t="shared" ref="C49:G49" si="3">C27</f>
        <v>成都市新都区市场监督管理局</v>
      </c>
      <c r="D49" s="43" t="str">
        <f t="shared" si="3"/>
        <v>91510125MA6ABJKG71</v>
      </c>
      <c r="E49" s="43" t="str">
        <f t="shared" si="3"/>
        <v>有限责任公司（自然人投资或控股）</v>
      </c>
      <c r="F49" s="43" t="str">
        <f t="shared" si="3"/>
        <v>成都市新都区税务局</v>
      </c>
      <c r="G49" s="43" t="str">
        <f t="shared" si="3"/>
        <v>4402035309000039679中国工商银行成都新都西南石油大学支行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98" hidden="1">
      <c r="A71" s="43">
        <v>4</v>
      </c>
      <c r="B71" s="43" t="str">
        <f>B49</f>
        <v>四川骏腾宇航科技有限公司</v>
      </c>
      <c r="C71" s="43" t="str">
        <f t="shared" ref="C71:G71" si="4">C49</f>
        <v>成都市新都区市场监督管理局</v>
      </c>
      <c r="D71" s="43" t="str">
        <f t="shared" si="4"/>
        <v>91510125MA6ABJKG71</v>
      </c>
      <c r="E71" s="43" t="str">
        <f t="shared" si="4"/>
        <v>有限责任公司（自然人投资或控股）</v>
      </c>
      <c r="F71" s="43" t="str">
        <f t="shared" si="4"/>
        <v>成都市新都区税务局</v>
      </c>
      <c r="G71" s="43" t="str">
        <f t="shared" si="4"/>
        <v>4402035309000039679中国工商银行成都新都西南石油大学支行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98" hidden="1">
      <c r="A93" s="43">
        <v>5</v>
      </c>
      <c r="B93" s="43" t="str">
        <f>B71</f>
        <v>四川骏腾宇航科技有限公司</v>
      </c>
      <c r="C93" s="43" t="str">
        <f t="shared" ref="C93:G93" si="5">C71</f>
        <v>成都市新都区市场监督管理局</v>
      </c>
      <c r="D93" s="43" t="str">
        <f t="shared" si="5"/>
        <v>91510125MA6ABJKG71</v>
      </c>
      <c r="E93" s="43" t="str">
        <f t="shared" si="5"/>
        <v>有限责任公司（自然人投资或控股）</v>
      </c>
      <c r="F93" s="43" t="str">
        <f t="shared" si="5"/>
        <v>成都市新都区税务局</v>
      </c>
      <c r="G93" s="43" t="str">
        <f t="shared" si="5"/>
        <v>4402035309000039679中国工商银行成都新都西南石油大学支行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200</v>
      </c>
      <c r="L115" s="43"/>
      <c r="M115" s="43"/>
      <c r="N115" s="50"/>
      <c r="O115" s="50"/>
      <c r="P115" s="43"/>
      <c r="Q115" s="43"/>
      <c r="R115" s="43"/>
      <c r="S115" s="43"/>
      <c r="T115" s="43"/>
      <c r="U115" s="43"/>
      <c r="V115" s="43"/>
      <c r="W115" s="43"/>
      <c r="X115" s="43"/>
      <c r="Y115" s="43">
        <f>Y93+Y71+Y49+Y27++Y4</f>
        <v>1.95</v>
      </c>
      <c r="Z115" s="43"/>
      <c r="AA115" s="43"/>
      <c r="AB115" s="43"/>
    </row>
    <row r="116" spans="1:28">
      <c r="I116" s="36" t="s">
        <v>49</v>
      </c>
      <c r="K116" s="36">
        <f>IF(K115&gt;3000,K117,K115)</f>
        <v>200</v>
      </c>
    </row>
    <row r="117" spans="1:28" hidden="1">
      <c r="K117" s="36">
        <f>IF(K116&gt;3000,K118,K116)</f>
        <v>200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AD116"/>
  <sheetViews>
    <sheetView topLeftCell="L1" zoomScale="80" zoomScaleNormal="8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四川文投爱科行科技有限公司审计明细表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728</v>
      </c>
      <c r="C4" s="43" t="s">
        <v>1054</v>
      </c>
      <c r="D4" s="152" t="s">
        <v>1614</v>
      </c>
      <c r="E4" s="71" t="s">
        <v>446</v>
      </c>
      <c r="F4" s="43" t="s">
        <v>1040</v>
      </c>
      <c r="G4" s="43" t="s">
        <v>1615</v>
      </c>
      <c r="H4" s="71" t="s">
        <v>130</v>
      </c>
      <c r="I4" s="43" t="s">
        <v>72</v>
      </c>
      <c r="J4" s="71" t="s">
        <v>73</v>
      </c>
      <c r="K4" s="71">
        <v>1000</v>
      </c>
      <c r="L4" s="43" t="s">
        <v>1616</v>
      </c>
      <c r="M4" s="49" t="s">
        <v>1617</v>
      </c>
      <c r="N4" s="50">
        <v>44875</v>
      </c>
      <c r="O4" s="50">
        <v>45231</v>
      </c>
      <c r="P4" s="43">
        <f>P16-N4</f>
        <v>356</v>
      </c>
      <c r="Q4" s="55">
        <f>SUM(Q5:Q25)</f>
        <v>37.58</v>
      </c>
      <c r="R4" s="55">
        <v>15</v>
      </c>
      <c r="S4" s="43"/>
      <c r="T4" s="55">
        <f>SUM(T5:T25)</f>
        <v>37.58</v>
      </c>
      <c r="U4" s="56">
        <v>3.7999999999999999E-2</v>
      </c>
      <c r="V4" s="50"/>
      <c r="W4" s="43" t="s">
        <v>1618</v>
      </c>
      <c r="X4" s="77">
        <v>1.4999999999999999E-2</v>
      </c>
      <c r="Y4" s="43">
        <f>ROUNDDOWN(IF((O4-N4+1)*K4*X4/365&gt;R4,R4,(O4-N4+1)*K4*X4/365),2)</f>
        <v>14.67</v>
      </c>
      <c r="Z4" s="55">
        <f>R4-Y4</f>
        <v>0.33</v>
      </c>
      <c r="AA4" s="55" t="s">
        <v>108</v>
      </c>
      <c r="AB4" s="43" t="s">
        <v>61</v>
      </c>
      <c r="AD4" s="61">
        <f>(O4-N4+1)*K4*X4/365</f>
        <v>14.671200000000001</v>
      </c>
    </row>
    <row r="5" spans="1:30" s="35" customFormat="1">
      <c r="A5" s="44"/>
      <c r="B5" s="44"/>
      <c r="C5" s="44"/>
      <c r="D5" s="44"/>
      <c r="E5" s="42"/>
      <c r="F5" s="44"/>
      <c r="G5" s="44"/>
      <c r="H5" s="42"/>
      <c r="I5" s="44"/>
      <c r="J5" s="42"/>
      <c r="K5" s="42"/>
      <c r="L5" s="44"/>
      <c r="M5" s="51"/>
      <c r="N5" s="52"/>
      <c r="O5" s="52"/>
      <c r="P5" s="75">
        <v>44916</v>
      </c>
      <c r="Q5" s="58">
        <v>4.33</v>
      </c>
      <c r="R5" s="44"/>
      <c r="S5" s="75">
        <v>44916</v>
      </c>
      <c r="T5" s="58">
        <f>(S5-N4)/360*$U$4*$K$4</f>
        <v>4.33</v>
      </c>
      <c r="U5" s="78">
        <f t="shared" ref="U5:U16" si="0">T5-Q5</f>
        <v>0</v>
      </c>
      <c r="V5" s="52"/>
      <c r="W5" s="58"/>
      <c r="X5" s="42"/>
      <c r="Y5" s="44">
        <f>ROUNDDOWN((V5-N4)*K4*X4/365,2)</f>
        <v>-1844.17</v>
      </c>
      <c r="Z5" s="44"/>
      <c r="AA5" s="44"/>
      <c r="AB5" s="44"/>
    </row>
    <row r="6" spans="1:30" s="35" customFormat="1">
      <c r="A6" s="44"/>
      <c r="B6" s="44"/>
      <c r="C6" s="44"/>
      <c r="D6" s="44"/>
      <c r="E6" s="42"/>
      <c r="F6" s="44"/>
      <c r="G6" s="44"/>
      <c r="H6" s="42"/>
      <c r="I6" s="44"/>
      <c r="J6" s="42"/>
      <c r="K6" s="42"/>
      <c r="L6" s="44"/>
      <c r="M6" s="51"/>
      <c r="N6" s="52"/>
      <c r="O6" s="52"/>
      <c r="P6" s="75">
        <v>44947</v>
      </c>
      <c r="Q6" s="58">
        <v>3.27</v>
      </c>
      <c r="R6" s="44"/>
      <c r="S6" s="75">
        <v>44947</v>
      </c>
      <c r="T6" s="58">
        <f t="shared" ref="T6:T16" si="1">(S6-S5)*$K$4*$U$4/360</f>
        <v>3.27</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44978</v>
      </c>
      <c r="Q7" s="58">
        <v>3.27</v>
      </c>
      <c r="R7" s="44"/>
      <c r="S7" s="75">
        <v>44978</v>
      </c>
      <c r="T7" s="58">
        <f t="shared" si="1"/>
        <v>3.27</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45006</v>
      </c>
      <c r="Q8" s="58">
        <v>2.96</v>
      </c>
      <c r="R8" s="44"/>
      <c r="S8" s="75">
        <v>45006</v>
      </c>
      <c r="T8" s="58">
        <f t="shared" si="1"/>
        <v>2.96</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45037</v>
      </c>
      <c r="Q9" s="58">
        <v>3.27</v>
      </c>
      <c r="R9" s="44"/>
      <c r="S9" s="75">
        <v>45037</v>
      </c>
      <c r="T9" s="58">
        <f t="shared" si="1"/>
        <v>3.27</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45067</v>
      </c>
      <c r="Q10" s="58">
        <v>3.17</v>
      </c>
      <c r="R10" s="44"/>
      <c r="S10" s="75">
        <v>45067</v>
      </c>
      <c r="T10" s="58">
        <f t="shared" si="1"/>
        <v>3.17</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45098</v>
      </c>
      <c r="Q11" s="58">
        <v>3.27</v>
      </c>
      <c r="R11" s="44"/>
      <c r="S11" s="75">
        <v>45098</v>
      </c>
      <c r="T11" s="58">
        <f t="shared" si="1"/>
        <v>3.27</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45128</v>
      </c>
      <c r="Q12" s="58">
        <v>3.17</v>
      </c>
      <c r="R12" s="44"/>
      <c r="S12" s="75">
        <v>45128</v>
      </c>
      <c r="T12" s="58">
        <f t="shared" si="1"/>
        <v>3.17</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45159</v>
      </c>
      <c r="Q13" s="58">
        <v>3.27</v>
      </c>
      <c r="R13" s="44"/>
      <c r="S13" s="75">
        <v>45159</v>
      </c>
      <c r="T13" s="58">
        <f t="shared" si="1"/>
        <v>3.27</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45190</v>
      </c>
      <c r="Q14" s="58">
        <v>3.27</v>
      </c>
      <c r="R14" s="44"/>
      <c r="S14" s="75">
        <v>45190</v>
      </c>
      <c r="T14" s="58">
        <f t="shared" si="1"/>
        <v>3.27</v>
      </c>
      <c r="U14" s="78">
        <f t="shared" si="0"/>
        <v>0</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45220</v>
      </c>
      <c r="Q15" s="58">
        <v>3.17</v>
      </c>
      <c r="R15" s="44"/>
      <c r="S15" s="75">
        <v>45220</v>
      </c>
      <c r="T15" s="58">
        <f t="shared" si="1"/>
        <v>3.17</v>
      </c>
      <c r="U15" s="78">
        <f t="shared" si="0"/>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45231</v>
      </c>
      <c r="Q16" s="58">
        <v>1.1599999999999999</v>
      </c>
      <c r="R16" s="44"/>
      <c r="S16" s="75">
        <v>45231</v>
      </c>
      <c r="T16" s="58">
        <f t="shared" si="1"/>
        <v>1.1599999999999999</v>
      </c>
      <c r="U16" s="78">
        <f t="shared" si="0"/>
        <v>0</v>
      </c>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v>44978</v>
      </c>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v>45006</v>
      </c>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v>45037</v>
      </c>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v>45067</v>
      </c>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v>45098</v>
      </c>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v>45128</v>
      </c>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v>45159</v>
      </c>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75">
        <v>45190</v>
      </c>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75">
        <v>45220</v>
      </c>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v>45231</v>
      </c>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45205</v>
      </c>
      <c r="S114" s="43"/>
      <c r="T114" s="43"/>
      <c r="U114" s="43"/>
      <c r="V114" s="43"/>
      <c r="W114" s="43"/>
      <c r="X114" s="71"/>
      <c r="Y114" s="43">
        <f>Y92+Y70+Y48+Y26++Y4</f>
        <v>14.67</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AC117"/>
  <sheetViews>
    <sheetView topLeftCell="O1" workbookViewId="0">
      <pane ySplit="3" topLeftCell="A4" activePane="bottomLeft" state="frozen"/>
      <selection pane="bottomLeft" activeCell="N4" sqref="N4:AB4"/>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成都新成量工具有限公司审计明细表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98">
      <c r="A4" s="43">
        <v>1</v>
      </c>
      <c r="B4" s="43" t="s">
        <v>671</v>
      </c>
      <c r="C4" s="43" t="s">
        <v>1547</v>
      </c>
      <c r="D4" s="43" t="s">
        <v>1619</v>
      </c>
      <c r="E4" s="43" t="s">
        <v>121</v>
      </c>
      <c r="F4" s="43" t="s">
        <v>1549</v>
      </c>
      <c r="G4" s="43" t="s">
        <v>1572</v>
      </c>
      <c r="H4" s="43" t="s">
        <v>156</v>
      </c>
      <c r="I4" s="43" t="s">
        <v>823</v>
      </c>
      <c r="J4" s="43" t="s">
        <v>168</v>
      </c>
      <c r="K4" s="43">
        <v>2000</v>
      </c>
      <c r="L4" s="43" t="s">
        <v>1620</v>
      </c>
      <c r="M4" s="49" t="s">
        <v>1621</v>
      </c>
      <c r="N4" s="65">
        <v>44945</v>
      </c>
      <c r="O4" s="65">
        <v>45285</v>
      </c>
      <c r="P4" s="43">
        <f>P17-N4</f>
        <v>363</v>
      </c>
      <c r="Q4" s="55">
        <f>SUM(Q5:Q114)</f>
        <v>56.69</v>
      </c>
      <c r="R4" s="55">
        <v>37.26</v>
      </c>
      <c r="S4" s="43"/>
      <c r="T4" s="55">
        <f>SUM(T5:T26)</f>
        <v>60.52</v>
      </c>
      <c r="U4" s="56">
        <v>0.03</v>
      </c>
      <c r="V4" s="50"/>
      <c r="W4" s="43" t="s">
        <v>1622</v>
      </c>
      <c r="X4" s="57">
        <v>0.02</v>
      </c>
      <c r="Y4" s="66">
        <f>ROUNDDOWN(IF((O4-N4+1)*K4*X4/365&gt;R4,R4,(O4-N4+1)*K4*X4/365),2)</f>
        <v>37.26</v>
      </c>
      <c r="Z4" s="55">
        <f>R4-Y4</f>
        <v>0</v>
      </c>
      <c r="AA4" s="55"/>
      <c r="AB4" s="43" t="s">
        <v>61</v>
      </c>
    </row>
    <row r="5" spans="1:29" s="35" customFormat="1">
      <c r="A5" s="44"/>
      <c r="B5" s="44"/>
      <c r="C5" s="44"/>
      <c r="D5" s="44"/>
      <c r="E5" s="44"/>
      <c r="F5" s="44"/>
      <c r="G5" s="44"/>
      <c r="H5" s="44"/>
      <c r="I5" s="44"/>
      <c r="J5" s="44"/>
      <c r="K5" s="44"/>
      <c r="L5" s="44"/>
      <c r="M5" s="63"/>
      <c r="N5" s="52"/>
      <c r="O5" s="65">
        <v>45308</v>
      </c>
      <c r="P5" s="53">
        <v>44947</v>
      </c>
      <c r="Q5" s="58">
        <v>0.33</v>
      </c>
      <c r="R5" s="44"/>
      <c r="S5" s="53">
        <v>44947</v>
      </c>
      <c r="T5" s="58">
        <f>(S5-N4)/360*$U$4*$K$4</f>
        <v>0.33</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44978</v>
      </c>
      <c r="Q6" s="58">
        <v>5.17</v>
      </c>
      <c r="R6" s="44"/>
      <c r="S6" s="53">
        <v>44978</v>
      </c>
      <c r="T6" s="58">
        <f>(S6-S5)/360*$U$4*$K$4</f>
        <v>5.17</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45006</v>
      </c>
      <c r="Q7" s="58">
        <v>4.67</v>
      </c>
      <c r="R7" s="44"/>
      <c r="S7" s="53">
        <v>45006</v>
      </c>
      <c r="T7" s="58">
        <f>(S7-S6)*$K$4*U4/360</f>
        <v>4.67</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45037</v>
      </c>
      <c r="Q8" s="58">
        <v>5.17</v>
      </c>
      <c r="R8" s="44"/>
      <c r="S8" s="53">
        <v>45037</v>
      </c>
      <c r="T8" s="58">
        <f>(S8-S7)*$K$4*$U$4/360</f>
        <v>5.17</v>
      </c>
      <c r="U8" s="58">
        <f t="shared" ref="U8:U17"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45067</v>
      </c>
      <c r="Q9" s="58">
        <v>5</v>
      </c>
      <c r="R9" s="44"/>
      <c r="S9" s="53">
        <v>45067</v>
      </c>
      <c r="T9" s="58">
        <f t="shared" ref="T9:T17" si="1">(S9-S8)*$K$4*$U$4/360</f>
        <v>5</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45098</v>
      </c>
      <c r="Q10" s="58">
        <v>5.17</v>
      </c>
      <c r="R10" s="44"/>
      <c r="S10" s="53">
        <v>45098</v>
      </c>
      <c r="T10" s="58">
        <f t="shared" si="1"/>
        <v>5.17</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45128</v>
      </c>
      <c r="Q11" s="58">
        <v>5</v>
      </c>
      <c r="R11" s="44"/>
      <c r="S11" s="53">
        <v>45128</v>
      </c>
      <c r="T11" s="58">
        <f t="shared" si="1"/>
        <v>5</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45159</v>
      </c>
      <c r="Q12" s="58">
        <v>5.17</v>
      </c>
      <c r="R12" s="44"/>
      <c r="S12" s="53">
        <v>45159</v>
      </c>
      <c r="T12" s="58">
        <f t="shared" si="1"/>
        <v>5.17</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45190</v>
      </c>
      <c r="Q13" s="58">
        <v>5.17</v>
      </c>
      <c r="R13" s="44"/>
      <c r="S13" s="53">
        <v>45190</v>
      </c>
      <c r="T13" s="58">
        <f t="shared" si="1"/>
        <v>5.17</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45220</v>
      </c>
      <c r="Q14" s="58">
        <v>5</v>
      </c>
      <c r="R14" s="44"/>
      <c r="S14" s="53">
        <v>45220</v>
      </c>
      <c r="T14" s="58">
        <f t="shared" si="1"/>
        <v>5</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45251</v>
      </c>
      <c r="Q15" s="58">
        <v>5.17</v>
      </c>
      <c r="R15" s="44"/>
      <c r="S15" s="53">
        <v>45251</v>
      </c>
      <c r="T15" s="58">
        <f t="shared" si="1"/>
        <v>5.17</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45281</v>
      </c>
      <c r="Q16" s="58">
        <v>5</v>
      </c>
      <c r="R16" s="44"/>
      <c r="S16" s="53">
        <v>45281</v>
      </c>
      <c r="T16" s="58">
        <f t="shared" si="1"/>
        <v>5</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45308</v>
      </c>
      <c r="Q17" s="58">
        <v>0.67</v>
      </c>
      <c r="R17" s="44"/>
      <c r="S17" s="53">
        <v>45308</v>
      </c>
      <c r="T17" s="58">
        <f t="shared" si="1"/>
        <v>4.5</v>
      </c>
      <c r="U17" s="58">
        <f t="shared" si="0"/>
        <v>3.83</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98" hidden="1">
      <c r="A27" s="43">
        <v>2</v>
      </c>
      <c r="B27" s="43" t="str">
        <f>B4</f>
        <v>成都新成量工具有限公司</v>
      </c>
      <c r="C27" s="43" t="str">
        <f t="shared" ref="C27:G27" si="2">C4</f>
        <v>成都市新都区市场监督管理局</v>
      </c>
      <c r="D27" s="43" t="str">
        <f t="shared" si="2"/>
        <v>91510114MA697U516G</v>
      </c>
      <c r="E27" s="43" t="str">
        <f t="shared" si="2"/>
        <v>其他有限责任公司</v>
      </c>
      <c r="F27" s="43" t="str">
        <f t="shared" si="2"/>
        <v>成都市新都区税务局</v>
      </c>
      <c r="G27" s="43" t="str">
        <f t="shared" si="2"/>
        <v>4402035309000039679中国工商银行成都新都西南石油大学支行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98" hidden="1">
      <c r="A49" s="43">
        <v>3</v>
      </c>
      <c r="B49" s="43" t="str">
        <f>B27</f>
        <v>成都新成量工具有限公司</v>
      </c>
      <c r="C49" s="43" t="str">
        <f t="shared" ref="C49:G49" si="3">C27</f>
        <v>成都市新都区市场监督管理局</v>
      </c>
      <c r="D49" s="43" t="str">
        <f t="shared" si="3"/>
        <v>91510114MA697U516G</v>
      </c>
      <c r="E49" s="43" t="str">
        <f t="shared" si="3"/>
        <v>其他有限责任公司</v>
      </c>
      <c r="F49" s="43" t="str">
        <f t="shared" si="3"/>
        <v>成都市新都区税务局</v>
      </c>
      <c r="G49" s="43" t="str">
        <f t="shared" si="3"/>
        <v>4402035309000039679中国工商银行成都新都西南石油大学支行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98" hidden="1">
      <c r="A71" s="43">
        <v>4</v>
      </c>
      <c r="B71" s="43" t="str">
        <f>B49</f>
        <v>成都新成量工具有限公司</v>
      </c>
      <c r="C71" s="43" t="str">
        <f t="shared" ref="C71:G71" si="4">C49</f>
        <v>成都市新都区市场监督管理局</v>
      </c>
      <c r="D71" s="43" t="str">
        <f t="shared" si="4"/>
        <v>91510114MA697U516G</v>
      </c>
      <c r="E71" s="43" t="str">
        <f t="shared" si="4"/>
        <v>其他有限责任公司</v>
      </c>
      <c r="F71" s="43" t="str">
        <f t="shared" si="4"/>
        <v>成都市新都区税务局</v>
      </c>
      <c r="G71" s="43" t="str">
        <f t="shared" si="4"/>
        <v>4402035309000039679中国工商银行成都新都西南石油大学支行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98" hidden="1">
      <c r="A93" s="43">
        <v>5</v>
      </c>
      <c r="B93" s="43" t="str">
        <f>B71</f>
        <v>成都新成量工具有限公司</v>
      </c>
      <c r="C93" s="43" t="str">
        <f t="shared" ref="C93:G93" si="5">C71</f>
        <v>成都市新都区市场监督管理局</v>
      </c>
      <c r="D93" s="43" t="str">
        <f t="shared" si="5"/>
        <v>91510114MA697U516G</v>
      </c>
      <c r="E93" s="43" t="str">
        <f t="shared" si="5"/>
        <v>其他有限责任公司</v>
      </c>
      <c r="F93" s="43" t="str">
        <f t="shared" si="5"/>
        <v>成都市新都区税务局</v>
      </c>
      <c r="G93" s="43" t="str">
        <f t="shared" si="5"/>
        <v>4402035309000039679中国工商银行成都新都西南石油大学支行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2000</v>
      </c>
      <c r="L115" s="43"/>
      <c r="M115" s="43"/>
      <c r="N115" s="50"/>
      <c r="O115" s="50"/>
      <c r="P115" s="43"/>
      <c r="Q115" s="43"/>
      <c r="R115" s="43"/>
      <c r="S115" s="43"/>
      <c r="T115" s="43"/>
      <c r="U115" s="43"/>
      <c r="V115" s="43"/>
      <c r="W115" s="43"/>
      <c r="X115" s="43"/>
      <c r="Y115" s="43">
        <f>Y93+Y71+Y49+Y27++Y4</f>
        <v>37.26</v>
      </c>
      <c r="Z115" s="43"/>
      <c r="AA115" s="43"/>
      <c r="AB115" s="43"/>
    </row>
    <row r="116" spans="1:28">
      <c r="I116" s="36" t="s">
        <v>49</v>
      </c>
      <c r="K116" s="36">
        <f>IF(K115&gt;3000,K117,K115)</f>
        <v>2000</v>
      </c>
    </row>
    <row r="117" spans="1:28" hidden="1">
      <c r="K117" s="36">
        <f>IF(K116&gt;3000,K118,K116)</f>
        <v>2000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AC117"/>
  <sheetViews>
    <sheetView topLeftCell="D1" workbookViewId="0">
      <pane ySplit="3" topLeftCell="A4" activePane="bottomLeft" state="frozen"/>
      <selection pane="bottomLeft" activeCell="Y5" sqref="Y5"/>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成都伦慈仪表有限公司审计明细表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98">
      <c r="A4" s="43">
        <v>1</v>
      </c>
      <c r="B4" s="43" t="s">
        <v>635</v>
      </c>
      <c r="C4" s="43" t="s">
        <v>1547</v>
      </c>
      <c r="D4" s="43" t="s">
        <v>1623</v>
      </c>
      <c r="E4" s="43" t="s">
        <v>246</v>
      </c>
      <c r="F4" s="43" t="s">
        <v>1549</v>
      </c>
      <c r="G4" s="43" t="s">
        <v>1572</v>
      </c>
      <c r="H4" s="43" t="s">
        <v>71</v>
      </c>
      <c r="I4" s="43" t="s">
        <v>1624</v>
      </c>
      <c r="J4" s="43" t="s">
        <v>168</v>
      </c>
      <c r="K4" s="43">
        <v>500</v>
      </c>
      <c r="L4" s="43" t="s">
        <v>1625</v>
      </c>
      <c r="M4" s="49" t="s">
        <v>1626</v>
      </c>
      <c r="N4" s="65">
        <v>44915</v>
      </c>
      <c r="O4" s="65">
        <v>45279</v>
      </c>
      <c r="P4" s="43">
        <f>P16-N4</f>
        <v>364</v>
      </c>
      <c r="Q4" s="55">
        <f>SUM(Q5:Q114)</f>
        <v>23.49</v>
      </c>
      <c r="R4" s="55">
        <v>7.5</v>
      </c>
      <c r="S4" s="43"/>
      <c r="T4" s="55">
        <f>SUM(T5:T26)</f>
        <v>23.5</v>
      </c>
      <c r="U4" s="56">
        <v>4.65E-2</v>
      </c>
      <c r="V4" s="50"/>
      <c r="W4" s="43" t="s">
        <v>42</v>
      </c>
      <c r="X4" s="57">
        <v>1.4999999999999999E-2</v>
      </c>
      <c r="Y4" s="66">
        <f>ROUNDDOWN(IF((O4-N4+1)*K4*X4/365&gt;R4,R4,(O4-N4+1)*K4*X4/365),2)</f>
        <v>7.5</v>
      </c>
      <c r="Z4" s="55">
        <f>R4-Y4</f>
        <v>0</v>
      </c>
      <c r="AA4" s="55"/>
      <c r="AB4" s="43" t="s">
        <v>61</v>
      </c>
    </row>
    <row r="5" spans="1:29" s="35" customFormat="1">
      <c r="A5" s="44"/>
      <c r="B5" s="44"/>
      <c r="C5" s="44"/>
      <c r="D5" s="44"/>
      <c r="E5" s="44"/>
      <c r="F5" s="44"/>
      <c r="G5" s="44"/>
      <c r="H5" s="44"/>
      <c r="I5" s="44"/>
      <c r="J5" s="44"/>
      <c r="K5" s="44"/>
      <c r="L5" s="44"/>
      <c r="M5" s="63"/>
      <c r="N5" s="52"/>
      <c r="O5" s="52"/>
      <c r="P5" s="53">
        <v>44946</v>
      </c>
      <c r="Q5" s="58">
        <v>2</v>
      </c>
      <c r="R5" s="44"/>
      <c r="S5" s="53">
        <v>44946</v>
      </c>
      <c r="T5" s="58">
        <f>(S5-N4)/360*$U$4*$K$4</f>
        <v>2</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44977</v>
      </c>
      <c r="Q6" s="58">
        <v>2</v>
      </c>
      <c r="R6" s="44"/>
      <c r="S6" s="53">
        <v>44977</v>
      </c>
      <c r="T6" s="58">
        <f>(S6-S5)/360*$U$4*$K$4</f>
        <v>2</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45005</v>
      </c>
      <c r="Q7" s="58">
        <v>1.8</v>
      </c>
      <c r="R7" s="44"/>
      <c r="S7" s="53">
        <v>45005</v>
      </c>
      <c r="T7" s="58">
        <f>(S7-S6)*$K$4*U4/360</f>
        <v>1.81</v>
      </c>
      <c r="U7" s="58">
        <f>T7-Q7</f>
        <v>0.01</v>
      </c>
      <c r="V7" s="44"/>
      <c r="W7" s="44"/>
      <c r="X7" s="44"/>
      <c r="Y7" s="44"/>
      <c r="Z7" s="44"/>
      <c r="AA7" s="44"/>
      <c r="AB7" s="44"/>
    </row>
    <row r="8" spans="1:29" s="35" customFormat="1">
      <c r="A8" s="44"/>
      <c r="B8" s="44"/>
      <c r="C8" s="44"/>
      <c r="D8" s="44"/>
      <c r="E8" s="44"/>
      <c r="F8" s="44"/>
      <c r="G8" s="44"/>
      <c r="H8" s="44"/>
      <c r="I8" s="44"/>
      <c r="J8" s="44"/>
      <c r="K8" s="44"/>
      <c r="L8" s="44"/>
      <c r="M8" s="44"/>
      <c r="N8" s="52"/>
      <c r="O8" s="52"/>
      <c r="P8" s="53">
        <v>45036</v>
      </c>
      <c r="Q8" s="58">
        <v>2</v>
      </c>
      <c r="R8" s="44"/>
      <c r="S8" s="53">
        <v>45036</v>
      </c>
      <c r="T8" s="58">
        <f>(S8-S7)*$K$4*$U$4/360</f>
        <v>2</v>
      </c>
      <c r="U8" s="58">
        <f t="shared" ref="U8:U16"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45066</v>
      </c>
      <c r="Q9" s="58">
        <v>1.94</v>
      </c>
      <c r="R9" s="44"/>
      <c r="S9" s="53">
        <v>45066</v>
      </c>
      <c r="T9" s="58">
        <f t="shared" ref="T9:T16" si="1">(S9-S8)*$K$4*$U$4/360</f>
        <v>1.94</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45097</v>
      </c>
      <c r="Q10" s="58">
        <v>2</v>
      </c>
      <c r="R10" s="44"/>
      <c r="S10" s="53">
        <v>45097</v>
      </c>
      <c r="T10" s="58">
        <f t="shared" si="1"/>
        <v>2</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45127</v>
      </c>
      <c r="Q11" s="58">
        <v>1.94</v>
      </c>
      <c r="R11" s="44"/>
      <c r="S11" s="53">
        <v>45127</v>
      </c>
      <c r="T11" s="58">
        <f t="shared" si="1"/>
        <v>1.94</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45158</v>
      </c>
      <c r="Q12" s="58">
        <v>2</v>
      </c>
      <c r="R12" s="44"/>
      <c r="S12" s="53">
        <v>45158</v>
      </c>
      <c r="T12" s="58">
        <f t="shared" si="1"/>
        <v>2</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45189</v>
      </c>
      <c r="Q13" s="58">
        <v>2</v>
      </c>
      <c r="R13" s="44"/>
      <c r="S13" s="53">
        <v>45189</v>
      </c>
      <c r="T13" s="58">
        <f t="shared" si="1"/>
        <v>2</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45219</v>
      </c>
      <c r="Q14" s="58">
        <v>1.94</v>
      </c>
      <c r="R14" s="44"/>
      <c r="S14" s="53">
        <v>45219</v>
      </c>
      <c r="T14" s="58">
        <f t="shared" si="1"/>
        <v>1.94</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45250</v>
      </c>
      <c r="Q15" s="58">
        <v>2</v>
      </c>
      <c r="R15" s="44"/>
      <c r="S15" s="53">
        <v>45250</v>
      </c>
      <c r="T15" s="58">
        <f t="shared" si="1"/>
        <v>2</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45279</v>
      </c>
      <c r="Q16" s="58">
        <v>1.87</v>
      </c>
      <c r="R16" s="44"/>
      <c r="S16" s="53">
        <v>45279</v>
      </c>
      <c r="T16" s="58">
        <f t="shared" si="1"/>
        <v>1.87</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98" hidden="1">
      <c r="A27" s="43">
        <v>2</v>
      </c>
      <c r="B27" s="43" t="str">
        <f>B4</f>
        <v>成都伦慈仪表有限公司</v>
      </c>
      <c r="C27" s="43" t="str">
        <f t="shared" ref="C27:G27" si="2">C4</f>
        <v>成都市新都区市场监督管理局</v>
      </c>
      <c r="D27" s="43" t="str">
        <f t="shared" si="2"/>
        <v>91510114725381381K</v>
      </c>
      <c r="E27" s="43" t="str">
        <f t="shared" si="2"/>
        <v>有限责任公司（自然人投资或控股）</v>
      </c>
      <c r="F27" s="43" t="str">
        <f t="shared" si="2"/>
        <v>成都市新都区税务局</v>
      </c>
      <c r="G27" s="43" t="str">
        <f t="shared" si="2"/>
        <v>4402035309000039679中国工商银行成都新都西南石油大学支行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98" hidden="1">
      <c r="A49" s="43">
        <v>3</v>
      </c>
      <c r="B49" s="43" t="str">
        <f>B27</f>
        <v>成都伦慈仪表有限公司</v>
      </c>
      <c r="C49" s="43" t="str">
        <f t="shared" ref="C49:G49" si="3">C27</f>
        <v>成都市新都区市场监督管理局</v>
      </c>
      <c r="D49" s="43" t="str">
        <f t="shared" si="3"/>
        <v>91510114725381381K</v>
      </c>
      <c r="E49" s="43" t="str">
        <f t="shared" si="3"/>
        <v>有限责任公司（自然人投资或控股）</v>
      </c>
      <c r="F49" s="43" t="str">
        <f t="shared" si="3"/>
        <v>成都市新都区税务局</v>
      </c>
      <c r="G49" s="43" t="str">
        <f t="shared" si="3"/>
        <v>4402035309000039679中国工商银行成都新都西南石油大学支行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98" hidden="1">
      <c r="A71" s="43">
        <v>4</v>
      </c>
      <c r="B71" s="43" t="str">
        <f>B49</f>
        <v>成都伦慈仪表有限公司</v>
      </c>
      <c r="C71" s="43" t="str">
        <f t="shared" ref="C71:G71" si="4">C49</f>
        <v>成都市新都区市场监督管理局</v>
      </c>
      <c r="D71" s="43" t="str">
        <f t="shared" si="4"/>
        <v>91510114725381381K</v>
      </c>
      <c r="E71" s="43" t="str">
        <f t="shared" si="4"/>
        <v>有限责任公司（自然人投资或控股）</v>
      </c>
      <c r="F71" s="43" t="str">
        <f t="shared" si="4"/>
        <v>成都市新都区税务局</v>
      </c>
      <c r="G71" s="43" t="str">
        <f t="shared" si="4"/>
        <v>4402035309000039679中国工商银行成都新都西南石油大学支行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98" hidden="1">
      <c r="A93" s="43">
        <v>5</v>
      </c>
      <c r="B93" s="43" t="str">
        <f>B71</f>
        <v>成都伦慈仪表有限公司</v>
      </c>
      <c r="C93" s="43" t="str">
        <f t="shared" ref="C93:G93" si="5">C71</f>
        <v>成都市新都区市场监督管理局</v>
      </c>
      <c r="D93" s="43" t="str">
        <f t="shared" si="5"/>
        <v>91510114725381381K</v>
      </c>
      <c r="E93" s="43" t="str">
        <f t="shared" si="5"/>
        <v>有限责任公司（自然人投资或控股）</v>
      </c>
      <c r="F93" s="43" t="str">
        <f t="shared" si="5"/>
        <v>成都市新都区税务局</v>
      </c>
      <c r="G93" s="43" t="str">
        <f t="shared" si="5"/>
        <v>4402035309000039679中国工商银行成都新都西南石油大学支行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7.5</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AC117"/>
  <sheetViews>
    <sheetView zoomScale="80" zoomScaleNormal="80" workbookViewId="0">
      <pane ySplit="3" topLeftCell="A4" activePane="bottomLeft" state="frozen"/>
      <selection pane="bottomLeft" activeCell="N27" sqref="N27:AB27"/>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0" width="9.5" style="36" customWidth="1"/>
    <col min="21" max="21" width="9" style="36"/>
    <col min="22" max="22" width="11.5" style="36" customWidth="1"/>
    <col min="23" max="28" width="9" style="36"/>
    <col min="29" max="29" width="9" style="36" hidden="1" customWidth="1"/>
    <col min="30" max="16384" width="9" style="36"/>
  </cols>
  <sheetData>
    <row r="1" spans="1:29" ht="25">
      <c r="B1" s="163" t="str">
        <f>B4&amp;AC1</f>
        <v>成都优利酷恩新材料有限公司审计明细表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84">
      <c r="A4" s="43">
        <v>1</v>
      </c>
      <c r="B4" s="43" t="s">
        <v>679</v>
      </c>
      <c r="C4" s="43" t="s">
        <v>1547</v>
      </c>
      <c r="D4" s="43" t="s">
        <v>1627</v>
      </c>
      <c r="E4" s="43" t="s">
        <v>246</v>
      </c>
      <c r="F4" s="43" t="s">
        <v>1549</v>
      </c>
      <c r="G4" s="43" t="s">
        <v>1565</v>
      </c>
      <c r="H4" s="43" t="s">
        <v>958</v>
      </c>
      <c r="I4" s="43" t="s">
        <v>1573</v>
      </c>
      <c r="J4" s="43" t="s">
        <v>73</v>
      </c>
      <c r="K4" s="43">
        <v>300</v>
      </c>
      <c r="L4" s="43" t="s">
        <v>1628</v>
      </c>
      <c r="M4" s="49" t="s">
        <v>1629</v>
      </c>
      <c r="N4" s="65">
        <v>45014</v>
      </c>
      <c r="O4" s="65">
        <v>45291</v>
      </c>
      <c r="P4" s="43">
        <f>P14-N4</f>
        <v>297</v>
      </c>
      <c r="Q4" s="55">
        <f>SUM(Q5:Q26)</f>
        <v>9.01</v>
      </c>
      <c r="R4" s="55">
        <v>3.43</v>
      </c>
      <c r="S4" s="43"/>
      <c r="T4" s="55">
        <f>SUM(T5:T26)</f>
        <v>9.01</v>
      </c>
      <c r="U4" s="56">
        <v>3.6499999999999998E-2</v>
      </c>
      <c r="V4" s="50"/>
      <c r="W4" s="43" t="s">
        <v>42</v>
      </c>
      <c r="X4" s="57">
        <v>1.4999999999999999E-2</v>
      </c>
      <c r="Y4" s="66">
        <f>ROUNDDOWN(IF((O4-N4+1)*K4*X4/365&gt;R4,R4,(O4-N4+1)*K4*X4/365),2)</f>
        <v>3.42</v>
      </c>
      <c r="Z4" s="55">
        <f>R4-Y4</f>
        <v>0.01</v>
      </c>
      <c r="AA4" s="55" t="s">
        <v>1263</v>
      </c>
      <c r="AB4" s="43" t="s">
        <v>61</v>
      </c>
    </row>
    <row r="5" spans="1:29" s="35" customFormat="1">
      <c r="A5" s="44"/>
      <c r="B5" s="44"/>
      <c r="C5" s="44"/>
      <c r="D5" s="44"/>
      <c r="E5" s="44"/>
      <c r="F5" s="44"/>
      <c r="G5" s="44"/>
      <c r="H5" s="44"/>
      <c r="I5" s="44"/>
      <c r="J5" s="44"/>
      <c r="K5" s="44"/>
      <c r="L5" s="44"/>
      <c r="M5" s="63"/>
      <c r="N5" s="52"/>
      <c r="O5" s="65">
        <v>45379</v>
      </c>
      <c r="P5" s="53">
        <v>45036</v>
      </c>
      <c r="Q5" s="58">
        <v>0.67</v>
      </c>
      <c r="R5" s="44"/>
      <c r="S5" s="53">
        <v>45036</v>
      </c>
      <c r="T5" s="58">
        <f>(S5-N4)/360*$U$4*$K$4</f>
        <v>0.67</v>
      </c>
      <c r="U5" s="58">
        <f>T5-Q5</f>
        <v>0</v>
      </c>
      <c r="V5" s="52"/>
      <c r="W5" s="44"/>
      <c r="X5" s="44"/>
      <c r="Y5" s="62"/>
      <c r="Z5" s="44"/>
      <c r="AA5" s="44"/>
      <c r="AB5" s="44"/>
    </row>
    <row r="6" spans="1:29" s="35" customFormat="1">
      <c r="A6" s="44"/>
      <c r="B6" s="44"/>
      <c r="C6" s="44"/>
      <c r="D6" s="44"/>
      <c r="E6" s="44"/>
      <c r="F6" s="44"/>
      <c r="G6" s="44"/>
      <c r="H6" s="44"/>
      <c r="I6" s="44"/>
      <c r="J6" s="44"/>
      <c r="K6" s="44"/>
      <c r="L6" s="44"/>
      <c r="M6" s="63"/>
      <c r="N6" s="52"/>
      <c r="O6" s="53"/>
      <c r="P6" s="53">
        <v>45066</v>
      </c>
      <c r="Q6" s="58">
        <v>0.91</v>
      </c>
      <c r="R6" s="44"/>
      <c r="S6" s="53">
        <v>45066</v>
      </c>
      <c r="T6" s="58">
        <f>(S6-S5)/360*$U$4*$K$4</f>
        <v>0.91</v>
      </c>
      <c r="U6" s="58">
        <f>T6-Q6</f>
        <v>0</v>
      </c>
      <c r="V6" s="52"/>
      <c r="W6" s="44"/>
      <c r="X6" s="44"/>
      <c r="Y6" s="44"/>
      <c r="Z6" s="44"/>
      <c r="AA6" s="44"/>
      <c r="AB6" s="44"/>
    </row>
    <row r="7" spans="1:29" s="35" customFormat="1">
      <c r="A7" s="44"/>
      <c r="B7" s="44"/>
      <c r="C7" s="44"/>
      <c r="D7" s="44"/>
      <c r="E7" s="44"/>
      <c r="F7" s="44"/>
      <c r="G7" s="44"/>
      <c r="H7" s="44"/>
      <c r="I7" s="44"/>
      <c r="J7" s="44"/>
      <c r="K7" s="44"/>
      <c r="L7" s="44"/>
      <c r="M7" s="44"/>
      <c r="N7" s="52"/>
      <c r="O7" s="53"/>
      <c r="P7" s="53">
        <v>45097</v>
      </c>
      <c r="Q7" s="58">
        <v>0.94</v>
      </c>
      <c r="R7" s="44"/>
      <c r="S7" s="53">
        <v>45097</v>
      </c>
      <c r="T7" s="58">
        <f>(S7-S6)*$K$4*U4/360</f>
        <v>0.94</v>
      </c>
      <c r="U7" s="58">
        <f>T7-Q7</f>
        <v>0</v>
      </c>
      <c r="V7" s="44"/>
      <c r="W7" s="44"/>
      <c r="X7" s="44"/>
      <c r="Y7" s="44"/>
      <c r="Z7" s="44"/>
      <c r="AA7" s="44"/>
      <c r="AB7" s="44"/>
    </row>
    <row r="8" spans="1:29" s="35" customFormat="1">
      <c r="A8" s="44"/>
      <c r="B8" s="44"/>
      <c r="C8" s="44"/>
      <c r="D8" s="44"/>
      <c r="E8" s="44"/>
      <c r="F8" s="44"/>
      <c r="G8" s="44"/>
      <c r="H8" s="44"/>
      <c r="I8" s="44"/>
      <c r="J8" s="44"/>
      <c r="K8" s="44"/>
      <c r="L8" s="44"/>
      <c r="M8" s="44"/>
      <c r="N8" s="52"/>
      <c r="O8" s="52"/>
      <c r="P8" s="53">
        <v>45127</v>
      </c>
      <c r="Q8" s="58">
        <v>0.91</v>
      </c>
      <c r="R8" s="44"/>
      <c r="S8" s="53">
        <v>45127</v>
      </c>
      <c r="T8" s="58">
        <f>(S8-S7)*$K$4*$U$4/360</f>
        <v>0.91</v>
      </c>
      <c r="U8" s="58">
        <f t="shared" ref="U8:U14" si="0">T8-Q8</f>
        <v>0</v>
      </c>
      <c r="V8" s="44"/>
      <c r="W8" s="44"/>
      <c r="X8" s="44"/>
      <c r="Y8" s="44"/>
      <c r="Z8" s="44"/>
      <c r="AA8" s="44"/>
      <c r="AB8" s="44"/>
    </row>
    <row r="9" spans="1:29" s="35" customFormat="1">
      <c r="A9" s="44"/>
      <c r="B9" s="44"/>
      <c r="C9" s="44"/>
      <c r="D9" s="44"/>
      <c r="E9" s="44"/>
      <c r="F9" s="44"/>
      <c r="G9" s="44"/>
      <c r="H9" s="44"/>
      <c r="I9" s="44"/>
      <c r="J9" s="44"/>
      <c r="K9" s="44"/>
      <c r="L9" s="44"/>
      <c r="M9" s="44"/>
      <c r="N9" s="52"/>
      <c r="O9" s="52"/>
      <c r="P9" s="53">
        <v>45158</v>
      </c>
      <c r="Q9" s="58">
        <v>0.94</v>
      </c>
      <c r="R9" s="44"/>
      <c r="S9" s="53">
        <v>45158</v>
      </c>
      <c r="T9" s="58">
        <f>(S9-S8)*$K$4*$U$4/360</f>
        <v>0.94</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45189</v>
      </c>
      <c r="Q10" s="58">
        <v>0.94</v>
      </c>
      <c r="R10" s="44"/>
      <c r="S10" s="53">
        <v>45189</v>
      </c>
      <c r="T10" s="58">
        <f t="shared" ref="T10:T14" si="1">(S10-S9)*$K$4*$U$4/360</f>
        <v>0.94</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45219</v>
      </c>
      <c r="Q11" s="58">
        <v>0.91</v>
      </c>
      <c r="R11" s="44"/>
      <c r="S11" s="53">
        <v>45219</v>
      </c>
      <c r="T11" s="58">
        <f t="shared" si="1"/>
        <v>0.91</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45250</v>
      </c>
      <c r="Q12" s="58">
        <v>0.94</v>
      </c>
      <c r="R12" s="44"/>
      <c r="S12" s="53">
        <v>45250</v>
      </c>
      <c r="T12" s="58">
        <f t="shared" si="1"/>
        <v>0.94</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45280</v>
      </c>
      <c r="Q13" s="58">
        <v>0.91</v>
      </c>
      <c r="R13" s="44"/>
      <c r="S13" s="53">
        <v>45280</v>
      </c>
      <c r="T13" s="58">
        <f t="shared" si="1"/>
        <v>0.91</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45311</v>
      </c>
      <c r="Q14" s="58">
        <v>0.94</v>
      </c>
      <c r="R14" s="44"/>
      <c r="S14" s="53">
        <v>45311</v>
      </c>
      <c r="T14" s="58">
        <f t="shared" si="1"/>
        <v>0.94</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84">
      <c r="A27" s="43">
        <v>2</v>
      </c>
      <c r="B27" s="43" t="str">
        <f>B4</f>
        <v>成都优利酷恩新材料有限公司</v>
      </c>
      <c r="C27" s="43" t="str">
        <f t="shared" ref="C27:G27" si="2">C4</f>
        <v>成都市新都区市场监督管理局</v>
      </c>
      <c r="D27" s="43" t="str">
        <f t="shared" si="2"/>
        <v>91510114MA69QBPP1X</v>
      </c>
      <c r="E27" s="43" t="str">
        <f t="shared" si="2"/>
        <v>有限责任公司（自然人投资或控股）</v>
      </c>
      <c r="F27" s="43" t="str">
        <f t="shared" si="2"/>
        <v>成都市新都区税务局</v>
      </c>
      <c r="G27" s="43" t="str">
        <f t="shared" si="2"/>
        <v>122555928604中国银行成都新都支行</v>
      </c>
      <c r="H27" s="43" t="s">
        <v>958</v>
      </c>
      <c r="I27" s="43" t="s">
        <v>1573</v>
      </c>
      <c r="J27" s="43" t="s">
        <v>73</v>
      </c>
      <c r="K27" s="43">
        <v>200</v>
      </c>
      <c r="L27" s="43" t="s">
        <v>1628</v>
      </c>
      <c r="M27" s="49" t="s">
        <v>1630</v>
      </c>
      <c r="N27" s="65">
        <v>45019</v>
      </c>
      <c r="O27" s="65">
        <v>45291</v>
      </c>
      <c r="P27" s="43">
        <f>P37-N27</f>
        <v>292</v>
      </c>
      <c r="Q27" s="55">
        <f>SUM(Q28:Q39)</f>
        <v>5.94</v>
      </c>
      <c r="R27" s="66">
        <v>2.2400000000000002</v>
      </c>
      <c r="S27" s="43"/>
      <c r="T27" s="55">
        <f>SUM(T28:T38)</f>
        <v>5.93</v>
      </c>
      <c r="U27" s="56">
        <v>3.6499999999999998E-2</v>
      </c>
      <c r="V27" s="50"/>
      <c r="W27" s="43" t="s">
        <v>42</v>
      </c>
      <c r="X27" s="67">
        <v>1.4999999999999999E-2</v>
      </c>
      <c r="Y27" s="43">
        <f>ROUNDDOWN(IF((O27-N27+1)*K27*X27/365&gt;R27,R27,(O27-N27+1)*K27*X27/365),2)</f>
        <v>2.2400000000000002</v>
      </c>
      <c r="Z27" s="55">
        <f>R27-Y27</f>
        <v>0</v>
      </c>
      <c r="AA27" s="55"/>
      <c r="AB27" s="43" t="s">
        <v>61</v>
      </c>
    </row>
    <row r="28" spans="1:28" s="35" customFormat="1">
      <c r="A28" s="44"/>
      <c r="B28" s="44"/>
      <c r="C28" s="44"/>
      <c r="D28" s="44"/>
      <c r="E28" s="44"/>
      <c r="F28" s="44"/>
      <c r="G28" s="44"/>
      <c r="H28" s="44"/>
      <c r="I28" s="44"/>
      <c r="J28" s="44"/>
      <c r="K28" s="44"/>
      <c r="L28" s="44"/>
      <c r="M28" s="44"/>
      <c r="N28" s="52"/>
      <c r="O28" s="65">
        <v>45384</v>
      </c>
      <c r="P28" s="53">
        <v>45036</v>
      </c>
      <c r="Q28" s="58">
        <v>0.35</v>
      </c>
      <c r="R28" s="44"/>
      <c r="S28" s="53">
        <v>45036</v>
      </c>
      <c r="T28" s="58">
        <f>(S28-N27)/360*$U$27*$K$27</f>
        <v>0.34</v>
      </c>
      <c r="U28" s="58">
        <f>T28-Q28</f>
        <v>-0.01</v>
      </c>
      <c r="V28" s="52"/>
      <c r="W28" s="44"/>
      <c r="X28" s="44"/>
      <c r="Y28" s="44"/>
      <c r="Z28" s="44"/>
      <c r="AA28" s="44"/>
      <c r="AB28" s="44"/>
    </row>
    <row r="29" spans="1:28" s="35" customFormat="1">
      <c r="A29" s="44"/>
      <c r="B29" s="44"/>
      <c r="C29" s="44"/>
      <c r="D29" s="44"/>
      <c r="E29" s="44"/>
      <c r="F29" s="44"/>
      <c r="G29" s="44"/>
      <c r="H29" s="44"/>
      <c r="I29" s="44"/>
      <c r="J29" s="44"/>
      <c r="K29" s="44"/>
      <c r="L29" s="44"/>
      <c r="M29" s="44"/>
      <c r="N29" s="52"/>
      <c r="O29" s="52"/>
      <c r="P29" s="53">
        <v>45066</v>
      </c>
      <c r="Q29" s="58">
        <v>0.61</v>
      </c>
      <c r="R29" s="44"/>
      <c r="S29" s="53">
        <v>45066</v>
      </c>
      <c r="T29" s="58">
        <f t="shared" ref="T29:T37" si="3">(S29-S28)*$K$27*$U$27/360</f>
        <v>0.61</v>
      </c>
      <c r="U29" s="58">
        <f>T29-Q29</f>
        <v>0</v>
      </c>
      <c r="V29" s="44"/>
      <c r="W29" s="44"/>
      <c r="X29" s="44"/>
      <c r="Y29" s="44"/>
      <c r="Z29" s="44"/>
      <c r="AA29" s="44"/>
      <c r="AB29" s="44"/>
    </row>
    <row r="30" spans="1:28" s="35" customFormat="1">
      <c r="A30" s="44"/>
      <c r="B30" s="44"/>
      <c r="C30" s="44"/>
      <c r="D30" s="44"/>
      <c r="E30" s="44"/>
      <c r="F30" s="44"/>
      <c r="G30" s="44"/>
      <c r="H30" s="44"/>
      <c r="I30" s="44"/>
      <c r="J30" s="44"/>
      <c r="K30" s="44"/>
      <c r="L30" s="44"/>
      <c r="M30" s="44"/>
      <c r="N30" s="52"/>
      <c r="O30" s="52"/>
      <c r="P30" s="53">
        <v>45097</v>
      </c>
      <c r="Q30" s="58">
        <v>0.63</v>
      </c>
      <c r="R30" s="44"/>
      <c r="S30" s="53">
        <v>45097</v>
      </c>
      <c r="T30" s="58">
        <f t="shared" si="3"/>
        <v>0.63</v>
      </c>
      <c r="U30" s="58">
        <f>T30-Q30</f>
        <v>0</v>
      </c>
      <c r="V30" s="44"/>
      <c r="W30" s="44"/>
      <c r="X30" s="44"/>
      <c r="Y30" s="44"/>
      <c r="Z30" s="44"/>
      <c r="AA30" s="44"/>
      <c r="AB30" s="44"/>
    </row>
    <row r="31" spans="1:28" s="35" customFormat="1">
      <c r="A31" s="44"/>
      <c r="B31" s="44"/>
      <c r="C31" s="44"/>
      <c r="D31" s="44"/>
      <c r="E31" s="44"/>
      <c r="F31" s="44"/>
      <c r="G31" s="44"/>
      <c r="H31" s="44"/>
      <c r="I31" s="44"/>
      <c r="J31" s="44"/>
      <c r="K31" s="44"/>
      <c r="L31" s="44"/>
      <c r="M31" s="44"/>
      <c r="N31" s="52"/>
      <c r="O31" s="52"/>
      <c r="P31" s="53">
        <v>45127</v>
      </c>
      <c r="Q31" s="58">
        <v>0.61</v>
      </c>
      <c r="R31" s="44"/>
      <c r="S31" s="53">
        <v>45127</v>
      </c>
      <c r="T31" s="58">
        <f t="shared" si="3"/>
        <v>0.61</v>
      </c>
      <c r="U31" s="58">
        <f t="shared" ref="U31:U37" si="4">T31-Q31</f>
        <v>0</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45158</v>
      </c>
      <c r="Q32" s="58">
        <v>0.63</v>
      </c>
      <c r="R32" s="44"/>
      <c r="S32" s="53">
        <v>45158</v>
      </c>
      <c r="T32" s="58">
        <f t="shared" si="3"/>
        <v>0.63</v>
      </c>
      <c r="U32" s="58">
        <f t="shared" si="4"/>
        <v>0</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45189</v>
      </c>
      <c r="Q33" s="58">
        <v>0.63</v>
      </c>
      <c r="R33" s="44"/>
      <c r="S33" s="53">
        <v>45189</v>
      </c>
      <c r="T33" s="58">
        <f t="shared" si="3"/>
        <v>0.63</v>
      </c>
      <c r="U33" s="58">
        <f t="shared" si="4"/>
        <v>0</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45219</v>
      </c>
      <c r="Q34" s="58">
        <v>0.61</v>
      </c>
      <c r="R34" s="44"/>
      <c r="S34" s="53">
        <v>45219</v>
      </c>
      <c r="T34" s="58">
        <f t="shared" si="3"/>
        <v>0.61</v>
      </c>
      <c r="U34" s="58">
        <f t="shared" si="4"/>
        <v>0</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45250</v>
      </c>
      <c r="Q35" s="58">
        <v>0.63</v>
      </c>
      <c r="R35" s="44"/>
      <c r="S35" s="53">
        <v>45250</v>
      </c>
      <c r="T35" s="58">
        <f t="shared" si="3"/>
        <v>0.63</v>
      </c>
      <c r="U35" s="58">
        <f t="shared" si="4"/>
        <v>0</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45280</v>
      </c>
      <c r="Q36" s="58">
        <v>0.61</v>
      </c>
      <c r="R36" s="44"/>
      <c r="S36" s="53">
        <v>45280</v>
      </c>
      <c r="T36" s="58">
        <f t="shared" si="3"/>
        <v>0.61</v>
      </c>
      <c r="U36" s="58">
        <f t="shared" si="4"/>
        <v>0</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45311</v>
      </c>
      <c r="Q37" s="58">
        <v>0.63</v>
      </c>
      <c r="R37" s="44"/>
      <c r="S37" s="53">
        <v>45311</v>
      </c>
      <c r="T37" s="58">
        <f t="shared" si="3"/>
        <v>0.63</v>
      </c>
      <c r="U37" s="58">
        <f t="shared" si="4"/>
        <v>0</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56" hidden="1">
      <c r="A49" s="43">
        <v>3</v>
      </c>
      <c r="B49" s="43" t="str">
        <f>B27</f>
        <v>成都优利酷恩新材料有限公司</v>
      </c>
      <c r="C49" s="43" t="str">
        <f t="shared" ref="C49:G49" si="5">C27</f>
        <v>成都市新都区市场监督管理局</v>
      </c>
      <c r="D49" s="43" t="str">
        <f t="shared" si="5"/>
        <v>91510114MA69QBPP1X</v>
      </c>
      <c r="E49" s="43" t="str">
        <f t="shared" si="5"/>
        <v>有限责任公司（自然人投资或控股）</v>
      </c>
      <c r="F49" s="43" t="str">
        <f t="shared" si="5"/>
        <v>成都市新都区税务局</v>
      </c>
      <c r="G49" s="43" t="str">
        <f t="shared" si="5"/>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56" hidden="1">
      <c r="A71" s="43">
        <v>4</v>
      </c>
      <c r="B71" s="43" t="str">
        <f>B49</f>
        <v>成都优利酷恩新材料有限公司</v>
      </c>
      <c r="C71" s="43" t="str">
        <f t="shared" ref="C71:G71" si="6">C49</f>
        <v>成都市新都区市场监督管理局</v>
      </c>
      <c r="D71" s="43" t="str">
        <f t="shared" si="6"/>
        <v>91510114MA69QBPP1X</v>
      </c>
      <c r="E71" s="43" t="str">
        <f t="shared" si="6"/>
        <v>有限责任公司（自然人投资或控股）</v>
      </c>
      <c r="F71" s="43" t="str">
        <f t="shared" si="6"/>
        <v>成都市新都区税务局</v>
      </c>
      <c r="G71" s="43" t="str">
        <f t="shared" si="6"/>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56" hidden="1">
      <c r="A93" s="43">
        <v>5</v>
      </c>
      <c r="B93" s="43" t="str">
        <f>B71</f>
        <v>成都优利酷恩新材料有限公司</v>
      </c>
      <c r="C93" s="43" t="str">
        <f t="shared" ref="C93:G93" si="7">C71</f>
        <v>成都市新都区市场监督管理局</v>
      </c>
      <c r="D93" s="43" t="str">
        <f t="shared" si="7"/>
        <v>91510114MA69QBPP1X</v>
      </c>
      <c r="E93" s="43" t="str">
        <f t="shared" si="7"/>
        <v>有限责任公司（自然人投资或控股）</v>
      </c>
      <c r="F93" s="43" t="str">
        <f t="shared" si="7"/>
        <v>成都市新都区税务局</v>
      </c>
      <c r="G93" s="43" t="str">
        <f t="shared" si="7"/>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500</v>
      </c>
      <c r="L115" s="43"/>
      <c r="M115" s="43"/>
      <c r="N115" s="50"/>
      <c r="O115" s="50"/>
      <c r="P115" s="43"/>
      <c r="Q115" s="43"/>
      <c r="R115" s="43"/>
      <c r="S115" s="43"/>
      <c r="T115" s="43"/>
      <c r="U115" s="43"/>
      <c r="V115" s="43"/>
      <c r="W115" s="43"/>
      <c r="X115" s="43"/>
      <c r="Y115" s="43">
        <f>Y93+Y71+Y49+Y27++Y4</f>
        <v>5.66</v>
      </c>
      <c r="Z115" s="43"/>
      <c r="AA115" s="43"/>
      <c r="AB115" s="43"/>
    </row>
    <row r="116" spans="1:28">
      <c r="I116" s="36" t="s">
        <v>49</v>
      </c>
      <c r="K116" s="36">
        <f>IF(K115&gt;3000,K117,K115)</f>
        <v>500</v>
      </c>
    </row>
    <row r="117" spans="1:28" hidden="1">
      <c r="K117" s="36">
        <f>IF(K116&gt;3000,K118,K116)</f>
        <v>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AC116"/>
  <sheetViews>
    <sheetView topLeftCell="E1" zoomScale="69" zoomScaleNormal="69" workbookViewId="0">
      <pane ySplit="3" topLeftCell="A4" activePane="bottomLeft" state="frozen"/>
      <selection pane="bottomLeft" activeCell="B4" sqref="B4:AB4"/>
    </sheetView>
  </sheetViews>
  <sheetFormatPr defaultColWidth="9" defaultRowHeight="14"/>
  <cols>
    <col min="1" max="6" width="9" style="36"/>
    <col min="7" max="7" width="8.58203125" style="36" customWidth="1"/>
    <col min="8" max="13" width="9" style="36"/>
    <col min="14" max="15" width="10.75" style="38" customWidth="1"/>
    <col min="16" max="16" width="9.832031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四川达卡电气有限公司审计明细表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126">
      <c r="A4" s="43">
        <v>1</v>
      </c>
      <c r="B4" s="43" t="s">
        <v>697</v>
      </c>
      <c r="C4" s="43" t="s">
        <v>1631</v>
      </c>
      <c r="D4" s="43" t="s">
        <v>1632</v>
      </c>
      <c r="E4" s="43" t="s">
        <v>121</v>
      </c>
      <c r="F4" s="43" t="s">
        <v>787</v>
      </c>
      <c r="G4" s="43" t="s">
        <v>1229</v>
      </c>
      <c r="H4" s="43" t="s">
        <v>65</v>
      </c>
      <c r="I4" s="43" t="s">
        <v>1633</v>
      </c>
      <c r="J4" s="43" t="s">
        <v>168</v>
      </c>
      <c r="K4" s="43">
        <v>1000</v>
      </c>
      <c r="L4" s="43" t="s">
        <v>1634</v>
      </c>
      <c r="M4" s="43" t="s">
        <v>1635</v>
      </c>
      <c r="N4" s="50">
        <v>45254</v>
      </c>
      <c r="O4" s="50">
        <v>45291</v>
      </c>
      <c r="P4" s="43">
        <f>P6-N4</f>
        <v>58</v>
      </c>
      <c r="Q4" s="55">
        <f>SUM(Q5:Q25)</f>
        <v>5.96</v>
      </c>
      <c r="R4" s="55">
        <v>1.56</v>
      </c>
      <c r="S4" s="43"/>
      <c r="T4" s="55">
        <f>SUM(T5:T25)</f>
        <v>5.97</v>
      </c>
      <c r="U4" s="56">
        <v>3.6999999999999998E-2</v>
      </c>
      <c r="V4" s="50"/>
      <c r="W4" s="43" t="s">
        <v>42</v>
      </c>
      <c r="X4" s="57">
        <v>1.4999999999999999E-2</v>
      </c>
      <c r="Y4" s="43">
        <f>ROUNDDOWN(IF((O4-N4+1)*K4*X4/365&gt;R4,R4,(O4-N4+1)*K4*X4/365),2)</f>
        <v>1.56</v>
      </c>
      <c r="Z4" s="55">
        <f>R4-Y4</f>
        <v>0</v>
      </c>
      <c r="AA4" s="55"/>
      <c r="AB4" s="43" t="s">
        <v>61</v>
      </c>
    </row>
    <row r="5" spans="1:29" s="35" customFormat="1">
      <c r="A5" s="44"/>
      <c r="B5" s="44"/>
      <c r="C5" s="44"/>
      <c r="D5" s="44"/>
      <c r="E5" s="44"/>
      <c r="F5" s="44"/>
      <c r="G5" s="44"/>
      <c r="H5" s="44"/>
      <c r="I5" s="44"/>
      <c r="J5" s="44"/>
      <c r="K5" s="44"/>
      <c r="L5" s="44"/>
      <c r="M5" s="63"/>
      <c r="N5" s="52"/>
      <c r="O5" s="52">
        <v>45619</v>
      </c>
      <c r="P5" s="53">
        <v>45281</v>
      </c>
      <c r="Q5" s="58">
        <v>2.77</v>
      </c>
      <c r="R5" s="44"/>
      <c r="S5" s="53">
        <v>45281</v>
      </c>
      <c r="T5" s="58">
        <f>(S5-N4)/360*$U$4*$K$4</f>
        <v>2.78</v>
      </c>
      <c r="U5" s="58">
        <f>T5-Q5</f>
        <v>0.01</v>
      </c>
      <c r="V5" s="52"/>
      <c r="W5" s="44"/>
      <c r="X5" s="44"/>
      <c r="Y5" s="44"/>
      <c r="Z5" s="44"/>
      <c r="AA5" s="44"/>
      <c r="AB5" s="44"/>
    </row>
    <row r="6" spans="1:29" s="35" customFormat="1">
      <c r="A6" s="44"/>
      <c r="B6" s="44"/>
      <c r="C6" s="44"/>
      <c r="D6" s="44"/>
      <c r="E6" s="44"/>
      <c r="F6" s="44"/>
      <c r="G6" s="44"/>
      <c r="H6" s="44"/>
      <c r="I6" s="44"/>
      <c r="J6" s="44"/>
      <c r="K6" s="44"/>
      <c r="L6" s="44"/>
      <c r="M6" s="44"/>
      <c r="N6" s="52"/>
      <c r="O6" s="52"/>
      <c r="P6" s="53">
        <v>45312</v>
      </c>
      <c r="Q6" s="58">
        <v>3.19</v>
      </c>
      <c r="R6" s="44"/>
      <c r="S6" s="53">
        <v>45312</v>
      </c>
      <c r="T6" s="58">
        <f>(S6-S5)*$K$4*U4/360</f>
        <v>3.19</v>
      </c>
      <c r="U6" s="58">
        <f>T6-Q6</f>
        <v>0</v>
      </c>
      <c r="V6" s="44"/>
      <c r="W6" s="44"/>
      <c r="X6" s="44"/>
      <c r="Y6" s="44"/>
      <c r="Z6" s="44"/>
      <c r="AA6" s="44"/>
      <c r="AB6" s="44"/>
    </row>
    <row r="7" spans="1:29" s="35" customFormat="1" hidden="1">
      <c r="A7" s="44"/>
      <c r="B7" s="44"/>
      <c r="C7" s="44"/>
      <c r="D7" s="44"/>
      <c r="E7" s="44"/>
      <c r="F7" s="44"/>
      <c r="G7" s="44"/>
      <c r="H7" s="44"/>
      <c r="I7" s="44"/>
      <c r="J7" s="44"/>
      <c r="K7" s="44"/>
      <c r="L7" s="44"/>
      <c r="M7" s="44"/>
      <c r="N7" s="52"/>
      <c r="O7" s="52"/>
      <c r="P7" s="53"/>
      <c r="Q7" s="58"/>
      <c r="R7" s="44"/>
      <c r="S7" s="53"/>
      <c r="T7" s="58"/>
      <c r="U7" s="58"/>
      <c r="V7" s="44"/>
      <c r="W7" s="44"/>
      <c r="X7" s="44"/>
      <c r="Y7" s="44"/>
      <c r="Z7" s="44"/>
      <c r="AA7" s="44"/>
      <c r="AB7" s="44"/>
    </row>
    <row r="8" spans="1:29" s="35" customFormat="1" hidden="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hidden="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hidden="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hidden="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4" customFormat="1" ht="126" hidden="1">
      <c r="A26" s="43">
        <v>2</v>
      </c>
      <c r="B26" s="43" t="str">
        <f>B4</f>
        <v>四川达卡电气有限公司</v>
      </c>
      <c r="C26" s="43" t="str">
        <f t="shared" ref="C26:G26" si="0">C4</f>
        <v>成都市双流区行政审批局局</v>
      </c>
      <c r="D26" s="43" t="str">
        <f t="shared" si="0"/>
        <v>915101227130712396</v>
      </c>
      <c r="E26" s="43" t="str">
        <f t="shared" si="0"/>
        <v>其他有限责任公司</v>
      </c>
      <c r="F26" s="43" t="str">
        <f t="shared" si="0"/>
        <v>国家税务总局成都市双流区税务局</v>
      </c>
      <c r="G26" s="43" t="str">
        <f t="shared" si="0"/>
        <v>收款账号：511610018010210321008
开户行：交通银行成都双流棠湖支行</v>
      </c>
      <c r="H26" s="43"/>
      <c r="I26" s="43"/>
      <c r="J26" s="43"/>
      <c r="K26" s="43"/>
      <c r="L26" s="43"/>
      <c r="M26" s="43"/>
      <c r="N26" s="50"/>
      <c r="O26" s="50"/>
      <c r="P26" s="43"/>
      <c r="Q26" s="55"/>
      <c r="R26" s="43"/>
      <c r="S26" s="43"/>
      <c r="T26" s="43"/>
      <c r="U26" s="43"/>
      <c r="V26" s="50"/>
      <c r="W26" s="43"/>
      <c r="X26" s="64"/>
      <c r="Y26" s="43">
        <f>ROUNDUP(IF((O26-N26+1)*K26*X26/365&gt;R26,R26,(O26-N26+1)*K26*X26/365),2)</f>
        <v>0</v>
      </c>
      <c r="Z26" s="43"/>
      <c r="AA26" s="43"/>
      <c r="AB26" s="43"/>
    </row>
    <row r="27" spans="1:28" s="35" customFormat="1" hidden="1">
      <c r="A27" s="44"/>
      <c r="B27" s="44"/>
      <c r="C27" s="44"/>
      <c r="D27" s="44"/>
      <c r="E27" s="44"/>
      <c r="F27" s="44"/>
      <c r="G27" s="44"/>
      <c r="H27" s="44"/>
      <c r="I27" s="44"/>
      <c r="J27" s="44"/>
      <c r="K27" s="44"/>
      <c r="L27" s="44"/>
      <c r="M27" s="44"/>
      <c r="N27" s="52"/>
      <c r="O27" s="52"/>
      <c r="P27" s="53"/>
      <c r="Q27" s="58"/>
      <c r="R27" s="44"/>
      <c r="S27" s="53"/>
      <c r="T27" s="58"/>
      <c r="U27" s="58"/>
      <c r="V27" s="52"/>
      <c r="W27" s="44"/>
      <c r="X27" s="44"/>
      <c r="Y27" s="44"/>
      <c r="Z27" s="44"/>
      <c r="AA27" s="44"/>
      <c r="AB27" s="44"/>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44"/>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4" customFormat="1" ht="126" hidden="1">
      <c r="A48" s="43">
        <v>3</v>
      </c>
      <c r="B48" s="43" t="str">
        <f>B26</f>
        <v>四川达卡电气有限公司</v>
      </c>
      <c r="C48" s="43" t="str">
        <f t="shared" ref="C48:G48" si="1">C26</f>
        <v>成都市双流区行政审批局局</v>
      </c>
      <c r="D48" s="43" t="str">
        <f t="shared" si="1"/>
        <v>915101227130712396</v>
      </c>
      <c r="E48" s="43" t="str">
        <f t="shared" si="1"/>
        <v>其他有限责任公司</v>
      </c>
      <c r="F48" s="43" t="str">
        <f t="shared" si="1"/>
        <v>国家税务总局成都市双流区税务局</v>
      </c>
      <c r="G48" s="43" t="str">
        <f t="shared" si="1"/>
        <v>收款账号：511610018010210321008
开户行：交通银行成都双流棠湖支行</v>
      </c>
      <c r="H48" s="43"/>
      <c r="I48" s="43"/>
      <c r="J48" s="43"/>
      <c r="K48" s="43"/>
      <c r="L48" s="43"/>
      <c r="M48" s="43"/>
      <c r="N48" s="50"/>
      <c r="O48" s="50"/>
      <c r="P48" s="43"/>
      <c r="Q48" s="55">
        <f>SUM(Q49:Q69)</f>
        <v>0</v>
      </c>
      <c r="R48" s="43"/>
      <c r="S48" s="43"/>
      <c r="T48" s="43">
        <f>SUM(T49:T69)</f>
        <v>0</v>
      </c>
      <c r="U48" s="43"/>
      <c r="V48" s="50"/>
      <c r="W48" s="43"/>
      <c r="X48" s="64"/>
      <c r="Y48" s="43">
        <f>ROUNDUP(IF((O48-N48+1)*K48*X48/365&gt;R48,R48,(O48-N48+1)*K48*X48/365),2)</f>
        <v>0</v>
      </c>
      <c r="Z48" s="43"/>
      <c r="AA48" s="43"/>
      <c r="AB48" s="43"/>
    </row>
    <row r="49" spans="1:28" s="35" customFormat="1" hidden="1">
      <c r="A49" s="44"/>
      <c r="B49" s="44"/>
      <c r="C49" s="44"/>
      <c r="D49" s="44"/>
      <c r="E49" s="44"/>
      <c r="F49" s="44"/>
      <c r="G49" s="44"/>
      <c r="H49" s="44"/>
      <c r="I49" s="44"/>
      <c r="J49" s="44"/>
      <c r="K49" s="44"/>
      <c r="L49" s="44"/>
      <c r="M49" s="44"/>
      <c r="N49" s="52"/>
      <c r="O49" s="52"/>
      <c r="P49" s="53"/>
      <c r="Q49" s="58"/>
      <c r="R49" s="44"/>
      <c r="S49" s="53"/>
      <c r="T49" s="58"/>
      <c r="U49" s="58"/>
      <c r="V49" s="52"/>
      <c r="W49" s="44"/>
      <c r="X49" s="44"/>
      <c r="Y49" s="44"/>
      <c r="Z49" s="44"/>
      <c r="AA49" s="44"/>
      <c r="AB49" s="44"/>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44"/>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4" customFormat="1" ht="126" hidden="1">
      <c r="A70" s="43">
        <v>4</v>
      </c>
      <c r="B70" s="43" t="str">
        <f>B48</f>
        <v>四川达卡电气有限公司</v>
      </c>
      <c r="C70" s="43" t="str">
        <f t="shared" ref="C70:G70" si="2">C48</f>
        <v>成都市双流区行政审批局局</v>
      </c>
      <c r="D70" s="43" t="str">
        <f t="shared" si="2"/>
        <v>915101227130712396</v>
      </c>
      <c r="E70" s="43" t="str">
        <f t="shared" si="2"/>
        <v>其他有限责任公司</v>
      </c>
      <c r="F70" s="43" t="str">
        <f t="shared" si="2"/>
        <v>国家税务总局成都市双流区税务局</v>
      </c>
      <c r="G70" s="43" t="str">
        <f t="shared" si="2"/>
        <v>收款账号：511610018010210321008
开户行：交通银行成都双流棠湖支行</v>
      </c>
      <c r="H70" s="43"/>
      <c r="I70" s="43"/>
      <c r="J70" s="43"/>
      <c r="K70" s="43"/>
      <c r="L70" s="43"/>
      <c r="M70" s="43"/>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44"/>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4" customFormat="1" ht="126" hidden="1">
      <c r="A92" s="43">
        <v>5</v>
      </c>
      <c r="B92" s="43" t="str">
        <f>B70</f>
        <v>四川达卡电气有限公司</v>
      </c>
      <c r="C92" s="43" t="str">
        <f t="shared" ref="C92:G92" si="3">C70</f>
        <v>成都市双流区行政审批局局</v>
      </c>
      <c r="D92" s="43" t="str">
        <f t="shared" si="3"/>
        <v>915101227130712396</v>
      </c>
      <c r="E92" s="43" t="str">
        <f t="shared" si="3"/>
        <v>其他有限责任公司</v>
      </c>
      <c r="F92" s="43" t="str">
        <f t="shared" si="3"/>
        <v>国家税务总局成都市双流区税务局</v>
      </c>
      <c r="G92" s="43" t="str">
        <f t="shared" si="3"/>
        <v>收款账号：511610018010210321008
开户行：交通银行成都双流棠湖支行</v>
      </c>
      <c r="H92" s="43"/>
      <c r="I92" s="43"/>
      <c r="J92" s="43"/>
      <c r="K92" s="43"/>
      <c r="L92" s="43"/>
      <c r="M92" s="43"/>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44"/>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3"/>
      <c r="N114" s="50"/>
      <c r="O114" s="50"/>
      <c r="P114" s="43"/>
      <c r="Q114" s="43"/>
      <c r="R114" s="43"/>
      <c r="S114" s="43"/>
      <c r="T114" s="43"/>
      <c r="U114" s="43"/>
      <c r="V114" s="43"/>
      <c r="W114" s="43"/>
      <c r="X114" s="43"/>
      <c r="Y114" s="43">
        <f>Y92+Y70+Y48+Y26++Y4</f>
        <v>1.56</v>
      </c>
      <c r="Z114" s="43"/>
      <c r="AA114" s="43"/>
      <c r="AB114" s="43"/>
    </row>
    <row r="115" spans="1:28">
      <c r="I115" s="36" t="s">
        <v>49</v>
      </c>
      <c r="K115" s="36">
        <f>IF(K114&gt;3000,K116,K114)</f>
        <v>1000</v>
      </c>
    </row>
    <row r="116" spans="1:28" hidden="1">
      <c r="K116" s="36">
        <f>IF(K115&gt;3000,K117,K115)</f>
        <v>1000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D116"/>
  <sheetViews>
    <sheetView topLeftCell="L1" zoomScale="80" zoomScaleNormal="80" workbookViewId="0">
      <pane ySplit="3" topLeftCell="A4" activePane="bottomLeft" state="frozen"/>
      <selection pane="bottomLeft" activeCell="Y26" sqref="Y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成都锐思环保技术股份有限公司审计明细表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51</v>
      </c>
      <c r="C4" s="9" t="s">
        <v>52</v>
      </c>
      <c r="D4" s="9" t="s">
        <v>53</v>
      </c>
      <c r="E4" s="9" t="s">
        <v>54</v>
      </c>
      <c r="F4" s="9" t="s">
        <v>35</v>
      </c>
      <c r="G4" s="9" t="s">
        <v>55</v>
      </c>
      <c r="H4" s="9" t="s">
        <v>56</v>
      </c>
      <c r="I4" s="9" t="s">
        <v>57</v>
      </c>
      <c r="J4" s="9" t="s">
        <v>58</v>
      </c>
      <c r="K4" s="9">
        <v>1000</v>
      </c>
      <c r="L4" s="9" t="s">
        <v>59</v>
      </c>
      <c r="M4" s="20" t="s">
        <v>60</v>
      </c>
      <c r="N4" s="16">
        <v>44824</v>
      </c>
      <c r="O4" s="16">
        <v>45189</v>
      </c>
      <c r="P4" s="9">
        <f>P9-N4</f>
        <v>365</v>
      </c>
      <c r="Q4" s="22">
        <f>SUM(Q5:Q25)</f>
        <v>40.549999999999997</v>
      </c>
      <c r="R4" s="22">
        <v>15</v>
      </c>
      <c r="S4" s="9"/>
      <c r="T4" s="22">
        <f>SUM(T5:T25)</f>
        <v>39.549999999999997</v>
      </c>
      <c r="U4" s="23">
        <v>3.9E-2</v>
      </c>
      <c r="V4" s="16"/>
      <c r="W4" s="9" t="s">
        <v>42</v>
      </c>
      <c r="X4" s="24">
        <v>1.4999999999999999E-2</v>
      </c>
      <c r="Y4" s="9">
        <f>ROUNDDOWN(IF((O4-N4+1)*K4*X4/365&gt;R4,R4,(O4-N4+1)*K4*X4/365),2)</f>
        <v>15</v>
      </c>
      <c r="Z4" s="22">
        <f>R4-Y4</f>
        <v>0</v>
      </c>
      <c r="AA4" s="22"/>
      <c r="AB4" s="9" t="s">
        <v>61</v>
      </c>
      <c r="AD4" s="28">
        <f>(O4-N4+1)*K4*X4/365</f>
        <v>15.0411</v>
      </c>
    </row>
    <row r="5" spans="1:30" s="2" customFormat="1" hidden="1">
      <c r="A5" s="10"/>
      <c r="B5" s="10"/>
      <c r="C5" s="10"/>
      <c r="D5" s="10"/>
      <c r="E5" s="10"/>
      <c r="F5" s="10"/>
      <c r="G5" s="10"/>
      <c r="H5" s="10"/>
      <c r="I5" s="10"/>
      <c r="J5" s="10"/>
      <c r="K5" s="10"/>
      <c r="L5" s="10"/>
      <c r="M5" s="17"/>
      <c r="N5" s="18"/>
      <c r="O5" s="18"/>
      <c r="P5" s="18">
        <v>44825</v>
      </c>
      <c r="Q5" s="25">
        <v>1.1100000000000001</v>
      </c>
      <c r="R5" s="10"/>
      <c r="S5" s="19">
        <f>P5</f>
        <v>44825</v>
      </c>
      <c r="T5" s="25">
        <f>(S5-N4)/360*$U$4*$K$4</f>
        <v>0.11</v>
      </c>
      <c r="U5" s="25">
        <f>T5-Q5</f>
        <v>-1</v>
      </c>
      <c r="V5" s="18"/>
      <c r="W5" s="10"/>
      <c r="X5" s="10"/>
      <c r="Y5" s="10">
        <f>ROUNDDOWN((V5-N4)*K4*X4/365,2)</f>
        <v>-1842.08</v>
      </c>
      <c r="Z5" s="10"/>
      <c r="AA5" s="10"/>
      <c r="AB5" s="10"/>
    </row>
    <row r="6" spans="1:30" s="2" customFormat="1" hidden="1">
      <c r="A6" s="10"/>
      <c r="B6" s="10"/>
      <c r="C6" s="10"/>
      <c r="D6" s="10"/>
      <c r="E6" s="10"/>
      <c r="F6" s="10"/>
      <c r="G6" s="10"/>
      <c r="H6" s="10"/>
      <c r="I6" s="10"/>
      <c r="J6" s="10"/>
      <c r="K6" s="10"/>
      <c r="L6" s="10"/>
      <c r="M6" s="17"/>
      <c r="N6" s="18"/>
      <c r="O6" s="18"/>
      <c r="P6" s="18">
        <v>44916</v>
      </c>
      <c r="Q6" s="25">
        <v>9.86</v>
      </c>
      <c r="R6" s="10"/>
      <c r="S6" s="19">
        <f>P6</f>
        <v>44916</v>
      </c>
      <c r="T6" s="25">
        <f>(S6-S5)*$K$4*$U$4/360</f>
        <v>9.86</v>
      </c>
      <c r="U6" s="25">
        <f>T6-Q6</f>
        <v>0</v>
      </c>
      <c r="V6" s="10"/>
      <c r="W6" s="10"/>
      <c r="X6" s="10"/>
      <c r="Y6" s="10"/>
      <c r="Z6" s="10"/>
      <c r="AA6" s="10"/>
      <c r="AB6" s="10"/>
    </row>
    <row r="7" spans="1:30" s="2" customFormat="1" hidden="1">
      <c r="A7" s="10"/>
      <c r="B7" s="10"/>
      <c r="C7" s="10"/>
      <c r="D7" s="10"/>
      <c r="E7" s="10"/>
      <c r="F7" s="10"/>
      <c r="G7" s="10"/>
      <c r="H7" s="10"/>
      <c r="I7" s="10"/>
      <c r="J7" s="10"/>
      <c r="K7" s="10"/>
      <c r="L7" s="10"/>
      <c r="M7" s="17"/>
      <c r="N7" s="18"/>
      <c r="O7" s="18"/>
      <c r="P7" s="18">
        <v>45006</v>
      </c>
      <c r="Q7" s="25">
        <v>9.75</v>
      </c>
      <c r="R7" s="10"/>
      <c r="S7" s="19">
        <f>P7</f>
        <v>45006</v>
      </c>
      <c r="T7" s="25">
        <f>(S7-S6)*$K$4*$U$4/360</f>
        <v>9.75</v>
      </c>
      <c r="U7" s="25">
        <f>T7-Q7</f>
        <v>0</v>
      </c>
      <c r="V7" s="10"/>
      <c r="W7" s="10"/>
      <c r="X7" s="10"/>
      <c r="Y7" s="10"/>
      <c r="Z7" s="10"/>
      <c r="AA7" s="10"/>
      <c r="AB7" s="10"/>
    </row>
    <row r="8" spans="1:30" s="2" customFormat="1" hidden="1">
      <c r="A8" s="10"/>
      <c r="B8" s="10"/>
      <c r="C8" s="10"/>
      <c r="D8" s="10"/>
      <c r="E8" s="10"/>
      <c r="F8" s="10"/>
      <c r="G8" s="10"/>
      <c r="H8" s="10"/>
      <c r="I8" s="10"/>
      <c r="J8" s="10"/>
      <c r="K8" s="10"/>
      <c r="L8" s="10"/>
      <c r="M8" s="17"/>
      <c r="N8" s="18"/>
      <c r="O8" s="18"/>
      <c r="P8" s="18">
        <v>45098</v>
      </c>
      <c r="Q8" s="25">
        <v>9.9700000000000006</v>
      </c>
      <c r="R8" s="10"/>
      <c r="S8" s="19">
        <f>P8</f>
        <v>45098</v>
      </c>
      <c r="T8" s="25">
        <f>(S8-S7)*$K$4*$U$4/360</f>
        <v>9.9700000000000006</v>
      </c>
      <c r="U8" s="25">
        <f>T8-Q8</f>
        <v>0</v>
      </c>
      <c r="V8" s="10"/>
      <c r="W8" s="10"/>
      <c r="X8" s="10"/>
      <c r="Y8" s="10"/>
      <c r="Z8" s="10"/>
      <c r="AA8" s="10"/>
      <c r="AB8" s="10"/>
    </row>
    <row r="9" spans="1:30" s="2" customFormat="1" hidden="1">
      <c r="A9" s="10"/>
      <c r="B9" s="10"/>
      <c r="C9" s="10"/>
      <c r="D9" s="10"/>
      <c r="E9" s="10"/>
      <c r="F9" s="10"/>
      <c r="G9" s="10"/>
      <c r="H9" s="10"/>
      <c r="I9" s="10"/>
      <c r="J9" s="10"/>
      <c r="K9" s="10"/>
      <c r="L9" s="10"/>
      <c r="M9" s="17"/>
      <c r="N9" s="18"/>
      <c r="O9" s="18"/>
      <c r="P9" s="18">
        <v>45189</v>
      </c>
      <c r="Q9" s="25">
        <v>9.86</v>
      </c>
      <c r="R9" s="10"/>
      <c r="S9" s="19">
        <f>P9</f>
        <v>45189</v>
      </c>
      <c r="T9" s="25">
        <f>(S9-S8)*$K$4*$U$4/360</f>
        <v>9.86</v>
      </c>
      <c r="U9" s="25">
        <f>T9-Q9</f>
        <v>0</v>
      </c>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84">
      <c r="A26" s="9">
        <v>2</v>
      </c>
      <c r="B26" s="9" t="str">
        <f>B4</f>
        <v>成都锐思环保技术股份有限公司</v>
      </c>
      <c r="C26" s="9" t="str">
        <f t="shared" ref="C26:G26" si="0">C4</f>
        <v>成都市市场监督管理局</v>
      </c>
      <c r="D26" s="9" t="str">
        <f t="shared" si="0"/>
        <v>915101007130802905</v>
      </c>
      <c r="E26" s="9" t="str">
        <f t="shared" si="0"/>
        <v>股份有限公司</v>
      </c>
      <c r="F26" s="9" t="str">
        <f t="shared" si="0"/>
        <v>国家税务总局成都高新技术产业开发区税务局</v>
      </c>
      <c r="G26" s="9" t="str">
        <f t="shared" si="0"/>
        <v>129343209717（中国银行股份有限公司成都锦城支行）</v>
      </c>
      <c r="H26" s="9" t="s">
        <v>56</v>
      </c>
      <c r="I26" s="9" t="s">
        <v>57</v>
      </c>
      <c r="J26" s="9" t="s">
        <v>62</v>
      </c>
      <c r="K26" s="9">
        <v>600</v>
      </c>
      <c r="L26" s="9" t="s">
        <v>63</v>
      </c>
      <c r="M26" s="20" t="s">
        <v>64</v>
      </c>
      <c r="N26" s="16">
        <v>44872</v>
      </c>
      <c r="O26" s="16">
        <v>45199</v>
      </c>
      <c r="P26" s="9">
        <f>P31-N26</f>
        <v>327</v>
      </c>
      <c r="Q26" s="22">
        <f>SUM(Q27:Q47)</f>
        <v>21.26</v>
      </c>
      <c r="R26" s="9">
        <v>8.0630140000000008</v>
      </c>
      <c r="S26" s="9"/>
      <c r="T26" s="9">
        <f>SUM(T27:T47)</f>
        <v>21.26</v>
      </c>
      <c r="U26" s="23">
        <v>3.9E-2</v>
      </c>
      <c r="V26" s="16"/>
      <c r="W26" s="9" t="s">
        <v>42</v>
      </c>
      <c r="X26" s="24">
        <v>1.4999999999999999E-2</v>
      </c>
      <c r="Y26" s="9">
        <f>ROUNDDOWN(IF((O26-N26+1)*K26*X26/365&gt;R26,R26,(O26-N26+1)*K26*X26/365),2)</f>
        <v>8.06</v>
      </c>
      <c r="Z26" s="127">
        <f>R26-Y26</f>
        <v>0</v>
      </c>
      <c r="AA26" s="9"/>
      <c r="AB26" s="9" t="s">
        <v>61</v>
      </c>
      <c r="AD26" s="1">
        <f>(O26-N26+1)*K26*X26/365</f>
        <v>8.0876712328767102</v>
      </c>
    </row>
    <row r="27" spans="1:30" s="2" customFormat="1">
      <c r="A27" s="10"/>
      <c r="B27" s="10"/>
      <c r="C27" s="10"/>
      <c r="D27" s="10"/>
      <c r="E27" s="10"/>
      <c r="F27" s="10"/>
      <c r="G27" s="10"/>
      <c r="H27" s="10"/>
      <c r="I27" s="10"/>
      <c r="J27" s="10"/>
      <c r="K27" s="10"/>
      <c r="L27" s="10"/>
      <c r="M27" s="17"/>
      <c r="N27" s="18"/>
      <c r="O27" s="16"/>
      <c r="P27" s="19">
        <v>44916</v>
      </c>
      <c r="Q27" s="25">
        <v>2.86</v>
      </c>
      <c r="R27" s="10"/>
      <c r="S27" s="19">
        <f>P27</f>
        <v>44916</v>
      </c>
      <c r="T27" s="25">
        <f>(S27-N26)/360*$U$26*$K$26</f>
        <v>2.86</v>
      </c>
      <c r="U27" s="25">
        <f>T27-Q27</f>
        <v>0</v>
      </c>
      <c r="V27" s="18"/>
      <c r="W27" s="10"/>
      <c r="X27" s="10"/>
      <c r="Y27" s="29">
        <f>ROUNDUP((V27-N26)*K26*X26/365,2)</f>
        <v>-1106.44</v>
      </c>
      <c r="Z27" s="10"/>
      <c r="AA27" s="10"/>
      <c r="AB27" s="10"/>
    </row>
    <row r="28" spans="1:30" s="2" customFormat="1">
      <c r="A28" s="10"/>
      <c r="B28" s="10"/>
      <c r="C28" s="10"/>
      <c r="D28" s="10"/>
      <c r="E28" s="10"/>
      <c r="F28" s="10"/>
      <c r="G28" s="10"/>
      <c r="H28" s="10"/>
      <c r="I28" s="10"/>
      <c r="J28" s="10"/>
      <c r="K28" s="10"/>
      <c r="L28" s="10"/>
      <c r="M28" s="17"/>
      <c r="N28" s="18"/>
      <c r="O28" s="18"/>
      <c r="P28" s="19">
        <v>45006</v>
      </c>
      <c r="Q28" s="25">
        <v>5.85</v>
      </c>
      <c r="R28" s="10"/>
      <c r="S28" s="19">
        <f t="shared" ref="S28:S31" si="1">P28</f>
        <v>45006</v>
      </c>
      <c r="T28" s="25">
        <f>(S28-S27)*$U$26*$K$26/360</f>
        <v>5.85</v>
      </c>
      <c r="U28" s="25">
        <f t="shared" ref="U28:U31" si="2">T28-Q28</f>
        <v>0</v>
      </c>
      <c r="V28" s="10"/>
      <c r="W28" s="10"/>
      <c r="X28" s="10"/>
      <c r="Y28" s="29">
        <f>ROUNDUP((O26-V27+1)*(K26-W27)*X26/365,2)</f>
        <v>1114.53</v>
      </c>
      <c r="Z28" s="10"/>
      <c r="AA28" s="10"/>
      <c r="AB28" s="10"/>
    </row>
    <row r="29" spans="1:30" s="2" customFormat="1">
      <c r="A29" s="10"/>
      <c r="B29" s="10"/>
      <c r="C29" s="10"/>
      <c r="D29" s="10"/>
      <c r="E29" s="10"/>
      <c r="F29" s="10"/>
      <c r="G29" s="10"/>
      <c r="H29" s="10"/>
      <c r="I29" s="10"/>
      <c r="J29" s="10"/>
      <c r="K29" s="10"/>
      <c r="L29" s="10"/>
      <c r="M29" s="17"/>
      <c r="N29" s="18"/>
      <c r="O29" s="18"/>
      <c r="P29" s="19">
        <v>45098</v>
      </c>
      <c r="Q29" s="25">
        <v>5.98</v>
      </c>
      <c r="R29" s="10"/>
      <c r="S29" s="19">
        <f t="shared" si="1"/>
        <v>45098</v>
      </c>
      <c r="T29" s="25">
        <f t="shared" ref="T29:T31" si="3">(S29-S28)*$U$26*$K$26/360</f>
        <v>5.98</v>
      </c>
      <c r="U29" s="25">
        <f t="shared" si="2"/>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45190</v>
      </c>
      <c r="Q30" s="25">
        <v>5.98</v>
      </c>
      <c r="R30" s="10"/>
      <c r="S30" s="19">
        <f t="shared" si="1"/>
        <v>45190</v>
      </c>
      <c r="T30" s="25">
        <f t="shared" si="3"/>
        <v>5.98</v>
      </c>
      <c r="U30" s="25">
        <f t="shared" si="2"/>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45199</v>
      </c>
      <c r="Q31" s="25">
        <v>0.59</v>
      </c>
      <c r="R31" s="10"/>
      <c r="S31" s="19">
        <f t="shared" si="1"/>
        <v>45199</v>
      </c>
      <c r="T31" s="25">
        <f t="shared" si="3"/>
        <v>0.59</v>
      </c>
      <c r="U31" s="25">
        <f t="shared" si="2"/>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成都锐思环保技术股份有限公司</v>
      </c>
      <c r="C48" s="9" t="str">
        <f t="shared" ref="C48:G48" si="4">C26</f>
        <v>成都市市场监督管理局</v>
      </c>
      <c r="D48" s="9" t="str">
        <f t="shared" si="4"/>
        <v>915101007130802905</v>
      </c>
      <c r="E48" s="9" t="str">
        <f t="shared" si="4"/>
        <v>股份有限公司</v>
      </c>
      <c r="F48" s="9" t="str">
        <f t="shared" si="4"/>
        <v>国家税务总局成都高新技术产业开发区税务局</v>
      </c>
      <c r="G48" s="9" t="str">
        <f t="shared" si="4"/>
        <v>129343209717（中国银行股份有限公司成都锦城支行）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5">P50</f>
        <v>0</v>
      </c>
      <c r="T50" s="25">
        <f>(S50-S49)*$U$48*$K$48/360</f>
        <v>0</v>
      </c>
      <c r="U50" s="25">
        <f t="shared" ref="U50" si="6">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成都锐思环保技术股份有限公司</v>
      </c>
      <c r="C70" s="9" t="str">
        <f t="shared" ref="C70:G70" si="7">C48</f>
        <v>成都市市场监督管理局</v>
      </c>
      <c r="D70" s="9" t="str">
        <f t="shared" si="7"/>
        <v>915101007130802905</v>
      </c>
      <c r="E70" s="9" t="str">
        <f t="shared" si="7"/>
        <v>股份有限公司</v>
      </c>
      <c r="F70" s="9" t="str">
        <f t="shared" si="7"/>
        <v>国家税务总局成都高新技术产业开发区税务局</v>
      </c>
      <c r="G70" s="9" t="str">
        <f t="shared" si="7"/>
        <v>129343209717（中国银行股份有限公司成都锦城支行）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成都锐思环保技术股份有限公司</v>
      </c>
      <c r="C92" s="9" t="str">
        <f t="shared" ref="C92:G92" si="8">C70</f>
        <v>成都市市场监督管理局</v>
      </c>
      <c r="D92" s="9" t="str">
        <f t="shared" si="8"/>
        <v>915101007130802905</v>
      </c>
      <c r="E92" s="9" t="str">
        <f t="shared" si="8"/>
        <v>股份有限公司</v>
      </c>
      <c r="F92" s="9" t="str">
        <f t="shared" si="8"/>
        <v>国家税务总局成都高新技术产业开发区税务局</v>
      </c>
      <c r="G92" s="9" t="str">
        <f t="shared" si="8"/>
        <v>129343209717（中国银行股份有限公司成都锦城支行）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1600</v>
      </c>
      <c r="L114" s="9"/>
      <c r="M114" s="20"/>
      <c r="N114" s="16"/>
      <c r="O114" s="16"/>
      <c r="P114" s="9"/>
      <c r="Q114" s="9"/>
      <c r="R114" s="9">
        <f>R92+R70+R48+R26++R4</f>
        <v>23.063013999999999</v>
      </c>
      <c r="S114" s="9"/>
      <c r="T114" s="9"/>
      <c r="U114" s="9"/>
      <c r="V114" s="9"/>
      <c r="W114" s="9"/>
      <c r="X114" s="9"/>
      <c r="Y114" s="9">
        <f>Y92+Y70+Y48+Y26++Y4</f>
        <v>23.06</v>
      </c>
      <c r="Z114" s="9"/>
      <c r="AA114" s="9"/>
      <c r="AB114" s="9"/>
    </row>
    <row r="115" spans="1:28">
      <c r="I115" t="s">
        <v>49</v>
      </c>
      <c r="K115">
        <f>IF(K114&gt;3000,K116,K114)</f>
        <v>1600</v>
      </c>
    </row>
    <row r="116" spans="1:28">
      <c r="K116" t="s">
        <v>50</v>
      </c>
    </row>
  </sheetData>
  <autoFilter ref="A3:AD9" xr:uid="{00000000-0009-0000-0000-000001000000}">
    <filterColumn colId="1">
      <colorFilter dxfId="7"/>
    </filterColumn>
    <sortState xmlns:xlrd2="http://schemas.microsoft.com/office/spreadsheetml/2017/richdata2" ref="A4:AD9">
      <sortCondition sortBy="cellColor" ref="B3" dxfId="8"/>
    </sortState>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116"/>
  <sheetViews>
    <sheetView topLeftCell="H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成都恩沐生物科技有限公司审计明细表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231</v>
      </c>
      <c r="C4" s="9" t="s">
        <v>232</v>
      </c>
      <c r="D4" s="9" t="s">
        <v>233</v>
      </c>
      <c r="E4" s="9" t="s">
        <v>121</v>
      </c>
      <c r="F4" s="9" t="s">
        <v>35</v>
      </c>
      <c r="G4" s="9" t="s">
        <v>234</v>
      </c>
      <c r="H4" s="9" t="s">
        <v>71</v>
      </c>
      <c r="I4" s="9" t="s">
        <v>116</v>
      </c>
      <c r="J4" s="9" t="s">
        <v>39</v>
      </c>
      <c r="K4" s="9">
        <v>768</v>
      </c>
      <c r="L4" s="20" t="s">
        <v>235</v>
      </c>
      <c r="M4" s="20" t="s">
        <v>236</v>
      </c>
      <c r="N4" s="16">
        <v>45197</v>
      </c>
      <c r="O4" s="16">
        <v>45291</v>
      </c>
      <c r="P4" s="9">
        <f>P8-N4</f>
        <v>115</v>
      </c>
      <c r="Q4" s="22">
        <f>SUM(Q5:Q25)</f>
        <v>9.5299999999999994</v>
      </c>
      <c r="R4" s="22">
        <v>2.9983</v>
      </c>
      <c r="S4" s="9"/>
      <c r="T4" s="22">
        <f>SUM(T5:T25)</f>
        <v>9.69</v>
      </c>
      <c r="U4" s="23">
        <v>3.95E-2</v>
      </c>
      <c r="V4" s="16"/>
      <c r="W4" s="9" t="s">
        <v>42</v>
      </c>
      <c r="X4" s="24">
        <v>1.4999999999999999E-2</v>
      </c>
      <c r="Y4" s="9">
        <f>ROUNDDOWN(IF((O4-N4+1)*K4*X4/365&gt;R4,R4,(O4-N4+1)*K4*X4/365),2)</f>
        <v>2.99</v>
      </c>
      <c r="Z4" s="22">
        <f>R4-Y4</f>
        <v>0.01</v>
      </c>
      <c r="AA4" s="22" t="s">
        <v>43</v>
      </c>
      <c r="AB4" s="9" t="s">
        <v>61</v>
      </c>
      <c r="AD4" s="28">
        <f>(O4-N4+1)*K4*X4/365</f>
        <v>2.9984000000000002</v>
      </c>
    </row>
    <row r="5" spans="1:30" s="2" customFormat="1">
      <c r="A5" s="10"/>
      <c r="B5" s="10"/>
      <c r="C5" s="10"/>
      <c r="D5" s="10"/>
      <c r="E5" s="10"/>
      <c r="F5" s="10"/>
      <c r="G5" s="10"/>
      <c r="H5" s="10"/>
      <c r="I5" s="10"/>
      <c r="J5" s="10"/>
      <c r="K5" s="10"/>
      <c r="L5" s="10"/>
      <c r="M5" s="17"/>
      <c r="N5" s="18"/>
      <c r="O5" s="16">
        <v>45563</v>
      </c>
      <c r="P5" s="19">
        <v>45220</v>
      </c>
      <c r="Q5" s="25">
        <v>1.94</v>
      </c>
      <c r="R5" s="10"/>
      <c r="S5" s="19">
        <f>P5</f>
        <v>45220</v>
      </c>
      <c r="T5" s="25">
        <f>(S5-N4)/360*$U$4*$K$4</f>
        <v>1.94</v>
      </c>
      <c r="U5" s="25">
        <f>T5-Q5</f>
        <v>0</v>
      </c>
      <c r="V5" s="18"/>
      <c r="W5" s="10"/>
      <c r="X5" s="10"/>
      <c r="Y5" s="10">
        <f>ROUNDDOWN((V5-N4)*K4*X4/365,2)</f>
        <v>-1426.49</v>
      </c>
      <c r="Z5" s="10"/>
      <c r="AA5" s="10"/>
      <c r="AB5" s="10"/>
    </row>
    <row r="6" spans="1:30" s="2" customFormat="1">
      <c r="A6" s="10"/>
      <c r="B6" s="10"/>
      <c r="C6" s="10"/>
      <c r="D6" s="10"/>
      <c r="E6" s="10"/>
      <c r="F6" s="10"/>
      <c r="G6" s="10"/>
      <c r="H6" s="10"/>
      <c r="I6" s="10"/>
      <c r="J6" s="10"/>
      <c r="K6" s="10"/>
      <c r="L6" s="10"/>
      <c r="M6" s="17"/>
      <c r="N6" s="18"/>
      <c r="O6" s="18"/>
      <c r="P6" s="19">
        <v>45251</v>
      </c>
      <c r="Q6" s="25">
        <v>2.5299999999999998</v>
      </c>
      <c r="R6" s="10"/>
      <c r="S6" s="19">
        <f t="shared" ref="S6:S8" si="0">P6</f>
        <v>45251</v>
      </c>
      <c r="T6" s="25">
        <f>(S6-S5)*$K$4*$U$4/360</f>
        <v>2.61</v>
      </c>
      <c r="U6" s="25">
        <f>T6-Q6</f>
        <v>0.08</v>
      </c>
      <c r="V6" s="10"/>
      <c r="W6" s="10"/>
      <c r="X6" s="10"/>
      <c r="Y6" s="10"/>
      <c r="Z6" s="10"/>
      <c r="AA6" s="10"/>
      <c r="AB6" s="10"/>
    </row>
    <row r="7" spans="1:30" s="2" customFormat="1">
      <c r="A7" s="10"/>
      <c r="B7" s="10"/>
      <c r="C7" s="10"/>
      <c r="D7" s="10"/>
      <c r="E7" s="10"/>
      <c r="F7" s="10"/>
      <c r="G7" s="10"/>
      <c r="H7" s="10"/>
      <c r="I7" s="10"/>
      <c r="J7" s="10"/>
      <c r="K7" s="10"/>
      <c r="L7" s="10"/>
      <c r="M7" s="17"/>
      <c r="N7" s="18"/>
      <c r="O7" s="18"/>
      <c r="P7" s="19">
        <v>45281</v>
      </c>
      <c r="Q7" s="25">
        <v>2.5299999999999998</v>
      </c>
      <c r="R7" s="10"/>
      <c r="S7" s="19">
        <f t="shared" si="0"/>
        <v>45281</v>
      </c>
      <c r="T7" s="25">
        <f t="shared" ref="T7:T8" si="1">(S7-S6)*$K$4*$U$4/360</f>
        <v>2.5299999999999998</v>
      </c>
      <c r="U7" s="25">
        <f t="shared" ref="U7:U8"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45312</v>
      </c>
      <c r="Q8" s="25">
        <v>2.5299999999999998</v>
      </c>
      <c r="R8" s="10"/>
      <c r="S8" s="19">
        <f t="shared" si="0"/>
        <v>45312</v>
      </c>
      <c r="T8" s="25">
        <f t="shared" si="1"/>
        <v>2.61</v>
      </c>
      <c r="U8" s="25">
        <f t="shared" si="2"/>
        <v>0.08</v>
      </c>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成都恩沐生物科技有限公司</v>
      </c>
      <c r="C26" s="9" t="str">
        <f t="shared" ref="C26:G26" si="3">C4</f>
        <v>成都高新技术产业开发区</v>
      </c>
      <c r="D26" s="9" t="str">
        <f t="shared" si="3"/>
        <v>91510100MA61WUE12U</v>
      </c>
      <c r="E26" s="9" t="str">
        <f t="shared" si="3"/>
        <v>其他有限责任公司</v>
      </c>
      <c r="F26" s="9" t="str">
        <f t="shared" si="3"/>
        <v>国家税务总局成都高新技术产业开发区税务局</v>
      </c>
      <c r="G26" s="9" t="str">
        <f t="shared" si="3"/>
        <v>51050148850800001127   建设银行成都第八支行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成都恩沐生物科技有限公司</v>
      </c>
      <c r="C48" s="9" t="str">
        <f t="shared" ref="C48:G48" si="7">C26</f>
        <v>成都高新技术产业开发区</v>
      </c>
      <c r="D48" s="9" t="str">
        <f t="shared" si="7"/>
        <v>91510100MA61WUE12U</v>
      </c>
      <c r="E48" s="9" t="str">
        <f t="shared" si="7"/>
        <v>其他有限责任公司</v>
      </c>
      <c r="F48" s="9" t="str">
        <f t="shared" si="7"/>
        <v>国家税务总局成都高新技术产业开发区税务局</v>
      </c>
      <c r="G48" s="9" t="str">
        <f t="shared" si="7"/>
        <v>51050148850800001127   建设银行成都第八支行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成都恩沐生物科技有限公司</v>
      </c>
      <c r="C70" s="9" t="str">
        <f t="shared" ref="C70:G70" si="10">C48</f>
        <v>成都高新技术产业开发区</v>
      </c>
      <c r="D70" s="9" t="str">
        <f t="shared" si="10"/>
        <v>91510100MA61WUE12U</v>
      </c>
      <c r="E70" s="9" t="str">
        <f t="shared" si="10"/>
        <v>其他有限责任公司</v>
      </c>
      <c r="F70" s="9" t="str">
        <f t="shared" si="10"/>
        <v>国家税务总局成都高新技术产业开发区税务局</v>
      </c>
      <c r="G70" s="9" t="str">
        <f t="shared" si="10"/>
        <v>51050148850800001127   建设银行成都第八支行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成都恩沐生物科技有限公司</v>
      </c>
      <c r="C92" s="9" t="str">
        <f t="shared" ref="C92:G92" si="11">C70</f>
        <v>成都高新技术产业开发区</v>
      </c>
      <c r="D92" s="9" t="str">
        <f t="shared" si="11"/>
        <v>91510100MA61WUE12U</v>
      </c>
      <c r="E92" s="9" t="str">
        <f t="shared" si="11"/>
        <v>其他有限责任公司</v>
      </c>
      <c r="F92" s="9" t="str">
        <f t="shared" si="11"/>
        <v>国家税务总局成都高新技术产业开发区税务局</v>
      </c>
      <c r="G92" s="9" t="str">
        <f t="shared" si="11"/>
        <v>51050148850800001127   建设银行成都第八支行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768</v>
      </c>
      <c r="L114" s="9"/>
      <c r="M114" s="20"/>
      <c r="N114" s="16"/>
      <c r="O114" s="16"/>
      <c r="P114" s="9"/>
      <c r="Q114" s="9"/>
      <c r="R114" s="22">
        <f>R92+R70+R48+R26+R4</f>
        <v>3</v>
      </c>
      <c r="S114" s="9"/>
      <c r="T114" s="9"/>
      <c r="U114" s="9"/>
      <c r="V114" s="9"/>
      <c r="W114" s="9"/>
      <c r="X114" s="9"/>
      <c r="Y114" s="9">
        <f>Y92+Y70+Y48+Y26++Y4</f>
        <v>2.99</v>
      </c>
      <c r="Z114" s="9"/>
      <c r="AA114" s="9"/>
      <c r="AB114" s="9"/>
    </row>
    <row r="115" spans="1:28">
      <c r="I115" t="s">
        <v>49</v>
      </c>
      <c r="K115">
        <f>IF(K114&gt;3000,K116,K114)</f>
        <v>768</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AD116"/>
  <sheetViews>
    <sheetView topLeftCell="F1" zoomScale="69" zoomScaleNormal="69" workbookViewId="0">
      <pane ySplit="3" topLeftCell="A4" activePane="bottomLeft" state="frozen"/>
      <selection pane="bottomLeft" activeCell="Y32" sqref="Y32"/>
    </sheetView>
  </sheetViews>
  <sheetFormatPr defaultColWidth="9" defaultRowHeight="14"/>
  <cols>
    <col min="1" max="6" width="9" style="36"/>
    <col min="7" max="7" width="8.58203125" style="36" customWidth="1"/>
    <col min="8" max="12" width="9" style="36"/>
    <col min="13" max="13" width="12.08203125" style="36" customWidth="1"/>
    <col min="14" max="15" width="10.75" style="38" customWidth="1"/>
    <col min="16" max="16" width="9.83203125" style="36" customWidth="1"/>
    <col min="17" max="18" width="9" style="36"/>
    <col min="19" max="19" width="9.83203125" style="36" customWidth="1"/>
    <col min="20" max="21" width="9" style="36"/>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成都大鹏纵横智能设备有限公司审计明细表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22</v>
      </c>
      <c r="T3" s="54" t="s">
        <v>23</v>
      </c>
      <c r="U3" s="41" t="s">
        <v>24</v>
      </c>
      <c r="V3" s="41" t="s">
        <v>25</v>
      </c>
      <c r="W3" s="41" t="s">
        <v>26</v>
      </c>
      <c r="X3" s="41" t="s">
        <v>27</v>
      </c>
      <c r="Y3" s="41" t="s">
        <v>784</v>
      </c>
      <c r="Z3" s="41" t="s">
        <v>29</v>
      </c>
      <c r="AA3" s="41" t="s">
        <v>30</v>
      </c>
      <c r="AB3" s="167"/>
      <c r="AC3" s="60"/>
    </row>
    <row r="4" spans="1:30" s="34" customFormat="1" ht="140">
      <c r="A4" s="43">
        <v>1</v>
      </c>
      <c r="B4" s="43" t="s">
        <v>605</v>
      </c>
      <c r="C4" s="43" t="s">
        <v>1631</v>
      </c>
      <c r="D4" s="43" t="s">
        <v>1636</v>
      </c>
      <c r="E4" s="43" t="s">
        <v>808</v>
      </c>
      <c r="F4" s="43" t="s">
        <v>787</v>
      </c>
      <c r="G4" s="43" t="s">
        <v>1637</v>
      </c>
      <c r="H4" s="43" t="s">
        <v>818</v>
      </c>
      <c r="I4" s="43" t="s">
        <v>57</v>
      </c>
      <c r="J4" s="43" t="s">
        <v>168</v>
      </c>
      <c r="K4" s="43">
        <v>2000</v>
      </c>
      <c r="L4" s="43" t="s">
        <v>1638</v>
      </c>
      <c r="M4" s="49" t="s">
        <v>1639</v>
      </c>
      <c r="N4" s="50">
        <v>44858</v>
      </c>
      <c r="O4" s="50">
        <v>45190</v>
      </c>
      <c r="P4" s="43">
        <f>P8-N4</f>
        <v>332</v>
      </c>
      <c r="Q4" s="55">
        <f>SUM(Q5:Q25)</f>
        <v>71.02</v>
      </c>
      <c r="R4" s="55">
        <v>36.49</v>
      </c>
      <c r="S4" s="43"/>
      <c r="T4" s="55">
        <f>SUM(T5:T25)</f>
        <v>71.02</v>
      </c>
      <c r="U4" s="56">
        <v>3.85E-2</v>
      </c>
      <c r="V4" s="50"/>
      <c r="W4" s="43" t="s">
        <v>42</v>
      </c>
      <c r="X4" s="57">
        <f>IFERROR(INDEX([3]支持标准!$F$3:$F$5,MATCH('149'!H4,[3]支持标准!$B$3:$B$5)),0)</f>
        <v>0.02</v>
      </c>
      <c r="Y4" s="43">
        <f>ROUNDDOWN(IF((O4-N4+1)*K4*X4/365&gt;R4,R4,(O4-N4+1)*K4*X4/365),2)</f>
        <v>36.49</v>
      </c>
      <c r="Z4" s="55">
        <f>R4-Y4</f>
        <v>0</v>
      </c>
      <c r="AA4" s="55"/>
      <c r="AB4" s="43" t="s">
        <v>61</v>
      </c>
      <c r="AD4" s="61"/>
    </row>
    <row r="5" spans="1:30" s="35" customFormat="1" hidden="1">
      <c r="A5" s="44"/>
      <c r="B5" s="44"/>
      <c r="C5" s="44"/>
      <c r="D5" s="44"/>
      <c r="E5" s="44"/>
      <c r="F5" s="44"/>
      <c r="G5" s="44"/>
      <c r="H5" s="44"/>
      <c r="I5" s="44"/>
      <c r="J5" s="44"/>
      <c r="K5" s="44"/>
      <c r="L5" s="44"/>
      <c r="M5" s="44" t="s">
        <v>562</v>
      </c>
      <c r="N5" s="52"/>
      <c r="O5" s="52"/>
      <c r="P5" s="53">
        <v>44916</v>
      </c>
      <c r="Q5" s="58">
        <v>12.41</v>
      </c>
      <c r="R5" s="44"/>
      <c r="S5" s="53">
        <f>P5</f>
        <v>44916</v>
      </c>
      <c r="T5" s="58">
        <f>(S5-N4)/360*$U$4*$K$4</f>
        <v>12.41</v>
      </c>
      <c r="U5" s="58">
        <f>T5-Q5</f>
        <v>0</v>
      </c>
      <c r="V5" s="52"/>
      <c r="W5" s="44"/>
      <c r="X5" s="44"/>
      <c r="Y5" s="44"/>
      <c r="Z5" s="44"/>
      <c r="AA5" s="44"/>
      <c r="AB5" s="44"/>
    </row>
    <row r="6" spans="1:30" s="35" customFormat="1" hidden="1">
      <c r="A6" s="44"/>
      <c r="B6" s="44"/>
      <c r="C6" s="44"/>
      <c r="D6" s="44"/>
      <c r="E6" s="44"/>
      <c r="F6" s="44"/>
      <c r="G6" s="44"/>
      <c r="H6" s="44"/>
      <c r="I6" s="44"/>
      <c r="J6" s="44"/>
      <c r="K6" s="44"/>
      <c r="L6" s="44"/>
      <c r="M6" s="44"/>
      <c r="N6" s="52"/>
      <c r="O6" s="52"/>
      <c r="P6" s="53">
        <v>45006</v>
      </c>
      <c r="Q6" s="58">
        <v>19.25</v>
      </c>
      <c r="R6" s="44"/>
      <c r="S6" s="53">
        <f>P6</f>
        <v>45006</v>
      </c>
      <c r="T6" s="58">
        <f>(S6-S5)*$K$4*$U$4/360</f>
        <v>19.25</v>
      </c>
      <c r="U6" s="58">
        <f>T6-Q6</f>
        <v>0</v>
      </c>
      <c r="V6" s="44"/>
      <c r="W6" s="44"/>
      <c r="X6" s="44"/>
      <c r="Y6" s="44"/>
      <c r="Z6" s="44"/>
      <c r="AA6" s="44"/>
      <c r="AB6" s="44"/>
    </row>
    <row r="7" spans="1:30" s="35" customFormat="1" hidden="1">
      <c r="A7" s="44"/>
      <c r="B7" s="44"/>
      <c r="C7" s="44"/>
      <c r="D7" s="44"/>
      <c r="E7" s="44"/>
      <c r="F7" s="44"/>
      <c r="G7" s="44"/>
      <c r="H7" s="44"/>
      <c r="I7" s="44"/>
      <c r="J7" s="44"/>
      <c r="K7" s="44"/>
      <c r="L7" s="44"/>
      <c r="M7" s="44"/>
      <c r="N7" s="52"/>
      <c r="O7" s="52"/>
      <c r="P7" s="53">
        <v>45098</v>
      </c>
      <c r="Q7" s="58">
        <v>19.68</v>
      </c>
      <c r="R7" s="44"/>
      <c r="S7" s="53">
        <f>P7</f>
        <v>45098</v>
      </c>
      <c r="T7" s="58">
        <f>(S7-S6)*$K$4*$U$4/360</f>
        <v>19.68</v>
      </c>
      <c r="U7" s="58">
        <f>T7-Q7</f>
        <v>0</v>
      </c>
      <c r="V7" s="44"/>
      <c r="W7" s="44"/>
      <c r="X7" s="44"/>
      <c r="Y7" s="44"/>
      <c r="Z7" s="44"/>
      <c r="AA7" s="44"/>
      <c r="AB7" s="44"/>
    </row>
    <row r="8" spans="1:30" s="35" customFormat="1" hidden="1">
      <c r="A8" s="44"/>
      <c r="B8" s="44"/>
      <c r="C8" s="44"/>
      <c r="D8" s="44"/>
      <c r="E8" s="44"/>
      <c r="F8" s="44"/>
      <c r="G8" s="44"/>
      <c r="H8" s="44"/>
      <c r="I8" s="44"/>
      <c r="J8" s="44"/>
      <c r="K8" s="44"/>
      <c r="L8" s="44"/>
      <c r="M8" s="44"/>
      <c r="N8" s="52"/>
      <c r="O8" s="52"/>
      <c r="P8" s="53">
        <v>45190</v>
      </c>
      <c r="Q8" s="58">
        <v>19.68</v>
      </c>
      <c r="R8" s="44"/>
      <c r="S8" s="53">
        <f>P8</f>
        <v>45190</v>
      </c>
      <c r="T8" s="58">
        <f>(S8-S7)*$K$4*$U$4/360</f>
        <v>19.68</v>
      </c>
      <c r="U8" s="58">
        <f>T8-Q8</f>
        <v>0</v>
      </c>
      <c r="V8" s="44"/>
      <c r="W8" s="44"/>
      <c r="X8" s="44"/>
      <c r="Y8" s="44"/>
      <c r="Z8" s="44"/>
      <c r="AA8" s="44"/>
      <c r="AB8" s="44"/>
    </row>
    <row r="9" spans="1:30" s="35" customFormat="1" hidden="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30" s="35" customFormat="1" hidden="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30" s="35" customFormat="1" hidden="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30" s="34" customFormat="1" ht="140">
      <c r="A26" s="43">
        <v>2</v>
      </c>
      <c r="B26" s="43" t="str">
        <f>B4</f>
        <v>成都大鹏纵横智能设备有限公司</v>
      </c>
      <c r="C26" s="43" t="str">
        <f t="shared" ref="C26:G26" si="0">C4</f>
        <v>成都市双流区行政审批局局</v>
      </c>
      <c r="D26" s="43" t="str">
        <f t="shared" si="0"/>
        <v>91510122MA61WTENXR</v>
      </c>
      <c r="E26" s="43" t="str">
        <f t="shared" si="0"/>
        <v>有限责任公司（非自然人投资或控股的法人独资）</v>
      </c>
      <c r="F26" s="43" t="str">
        <f t="shared" si="0"/>
        <v>国家税务总局成都市双流区税务局</v>
      </c>
      <c r="G26" s="43" t="str">
        <f t="shared" si="0"/>
        <v>收款账号：4402939109100042983
开户行：中国工商银行成都府河音乐花园支行</v>
      </c>
      <c r="H26" s="43" t="s">
        <v>65</v>
      </c>
      <c r="I26" s="43" t="s">
        <v>57</v>
      </c>
      <c r="J26" s="43" t="s">
        <v>66</v>
      </c>
      <c r="K26" s="43">
        <v>1000</v>
      </c>
      <c r="L26" s="43" t="s">
        <v>1640</v>
      </c>
      <c r="M26" s="43" t="s">
        <v>1641</v>
      </c>
      <c r="N26" s="50">
        <v>44923</v>
      </c>
      <c r="O26" s="50">
        <v>45291</v>
      </c>
      <c r="P26" s="43">
        <f>P32-N26</f>
        <v>449</v>
      </c>
      <c r="Q26" s="55">
        <f>SUM(Q27:Q47)</f>
        <v>47.12</v>
      </c>
      <c r="R26" s="43">
        <v>15.16</v>
      </c>
      <c r="S26" s="43"/>
      <c r="T26" s="43">
        <f>SUM(T27:T47)</f>
        <v>48.02</v>
      </c>
      <c r="U26" s="56">
        <v>3.85E-2</v>
      </c>
      <c r="V26" s="50"/>
      <c r="W26" s="43" t="s">
        <v>1642</v>
      </c>
      <c r="X26" s="57">
        <v>1.4999999999999999E-2</v>
      </c>
      <c r="Y26" s="43">
        <f>ROUNDDOWN(IF((O26-N26+1)*K26*X26/365&gt;R26,R26,(O26-N26+1)*K26*X26/365),2)</f>
        <v>15.16</v>
      </c>
      <c r="Z26" s="55">
        <f t="shared" ref="Z26:AA26" si="1">R26-Y26</f>
        <v>0</v>
      </c>
      <c r="AA26" s="55">
        <f t="shared" si="1"/>
        <v>0</v>
      </c>
      <c r="AB26" s="43" t="s">
        <v>61</v>
      </c>
      <c r="AD26" s="34">
        <f>(O26-N26+1)*K26*X26/365</f>
        <v>15.164383561643801</v>
      </c>
    </row>
    <row r="27" spans="1:30" s="35" customFormat="1">
      <c r="A27" s="44"/>
      <c r="B27" s="44"/>
      <c r="C27" s="44"/>
      <c r="D27" s="44"/>
      <c r="E27" s="44"/>
      <c r="F27" s="44"/>
      <c r="G27" s="44"/>
      <c r="H27" s="44"/>
      <c r="I27" s="44"/>
      <c r="J27" s="44"/>
      <c r="K27" s="44"/>
      <c r="L27" s="44"/>
      <c r="M27" s="44"/>
      <c r="N27" s="52"/>
      <c r="O27" s="50">
        <v>45653</v>
      </c>
      <c r="P27" s="53">
        <v>45006</v>
      </c>
      <c r="Q27" s="58">
        <v>8.8800000000000008</v>
      </c>
      <c r="R27" s="44"/>
      <c r="S27" s="53">
        <f>P27</f>
        <v>45006</v>
      </c>
      <c r="T27" s="58">
        <f>(S27-N26)/360*$U$26*$K$26</f>
        <v>8.8800000000000008</v>
      </c>
      <c r="U27" s="58">
        <f>T27-Q27</f>
        <v>0</v>
      </c>
      <c r="V27" s="52">
        <v>45287</v>
      </c>
      <c r="W27" s="44">
        <v>50</v>
      </c>
      <c r="X27" s="44"/>
      <c r="Y27" s="62">
        <f>ROUNDUP((V27-N26)*K26*X26/365,2)</f>
        <v>14.96</v>
      </c>
      <c r="Z27" s="44"/>
      <c r="AA27" s="44"/>
      <c r="AB27" s="44"/>
    </row>
    <row r="28" spans="1:30" s="35" customFormat="1">
      <c r="A28" s="44"/>
      <c r="B28" s="44"/>
      <c r="C28" s="44"/>
      <c r="D28" s="44"/>
      <c r="E28" s="44"/>
      <c r="F28" s="44"/>
      <c r="G28" s="44"/>
      <c r="H28" s="44"/>
      <c r="I28" s="44"/>
      <c r="J28" s="44"/>
      <c r="K28" s="44"/>
      <c r="L28" s="44"/>
      <c r="M28" s="44"/>
      <c r="N28" s="52"/>
      <c r="O28" s="52"/>
      <c r="P28" s="53">
        <v>45098</v>
      </c>
      <c r="Q28" s="58">
        <v>9.84</v>
      </c>
      <c r="R28" s="44"/>
      <c r="S28" s="53">
        <f t="shared" ref="S28:S32" si="2">P28</f>
        <v>45098</v>
      </c>
      <c r="T28" s="58">
        <f>(S28-S27)*$U$26*$K$26/360</f>
        <v>9.84</v>
      </c>
      <c r="U28" s="58">
        <f t="shared" ref="U28:U32" si="3">T28-Q28</f>
        <v>0</v>
      </c>
      <c r="V28" s="52">
        <v>45291</v>
      </c>
      <c r="W28" s="44"/>
      <c r="X28" s="44"/>
      <c r="Y28" s="62">
        <f>ROUNDUP((O26-V27+1)*(K26-W27)*X26/365,2)</f>
        <v>0.2</v>
      </c>
      <c r="Z28" s="44"/>
      <c r="AA28" s="44"/>
      <c r="AB28" s="44"/>
    </row>
    <row r="29" spans="1:30" s="35" customFormat="1">
      <c r="A29" s="44"/>
      <c r="B29" s="44"/>
      <c r="C29" s="44"/>
      <c r="D29" s="44"/>
      <c r="E29" s="44"/>
      <c r="F29" s="44"/>
      <c r="G29" s="44"/>
      <c r="H29" s="44"/>
      <c r="I29" s="44"/>
      <c r="J29" s="44"/>
      <c r="K29" s="44"/>
      <c r="L29" s="44"/>
      <c r="M29" s="44"/>
      <c r="N29" s="52"/>
      <c r="O29" s="52"/>
      <c r="P29" s="53">
        <v>45190</v>
      </c>
      <c r="Q29" s="58">
        <v>9.84</v>
      </c>
      <c r="R29" s="44"/>
      <c r="S29" s="53">
        <f t="shared" si="2"/>
        <v>45190</v>
      </c>
      <c r="T29" s="58">
        <f t="shared" ref="T29:T32" si="4">(S29-S28)*$U$26*$K$26/360</f>
        <v>9.84</v>
      </c>
      <c r="U29" s="58">
        <f t="shared" si="3"/>
        <v>0</v>
      </c>
      <c r="V29" s="44"/>
      <c r="W29" s="44"/>
      <c r="X29" s="44"/>
      <c r="Y29" s="44"/>
      <c r="Z29" s="44"/>
      <c r="AA29" s="44"/>
      <c r="AB29" s="44"/>
    </row>
    <row r="30" spans="1:30" s="35" customFormat="1">
      <c r="A30" s="44"/>
      <c r="B30" s="44"/>
      <c r="C30" s="44"/>
      <c r="D30" s="44"/>
      <c r="E30" s="44"/>
      <c r="F30" s="44"/>
      <c r="G30" s="44"/>
      <c r="H30" s="44"/>
      <c r="I30" s="44"/>
      <c r="J30" s="44"/>
      <c r="K30" s="44"/>
      <c r="L30" s="44"/>
      <c r="M30" s="44"/>
      <c r="N30" s="52"/>
      <c r="O30" s="52"/>
      <c r="P30" s="53">
        <v>45271</v>
      </c>
      <c r="Q30" s="58">
        <v>9.73</v>
      </c>
      <c r="R30" s="44"/>
      <c r="S30" s="53">
        <f t="shared" si="2"/>
        <v>45271</v>
      </c>
      <c r="T30" s="58">
        <f t="shared" si="4"/>
        <v>8.66</v>
      </c>
      <c r="U30" s="58">
        <f t="shared" si="3"/>
        <v>-1.07</v>
      </c>
      <c r="V30" s="44"/>
      <c r="W30" s="44"/>
      <c r="X30" s="44"/>
      <c r="Y30" s="44"/>
      <c r="Z30" s="44"/>
      <c r="AA30" s="44"/>
      <c r="AB30" s="44"/>
    </row>
    <row r="31" spans="1:30" s="35" customFormat="1">
      <c r="A31" s="44"/>
      <c r="B31" s="44"/>
      <c r="C31" s="44"/>
      <c r="D31" s="44"/>
      <c r="E31" s="44"/>
      <c r="F31" s="44"/>
      <c r="G31" s="44"/>
      <c r="H31" s="44"/>
      <c r="I31" s="44"/>
      <c r="J31" s="44"/>
      <c r="K31" s="44"/>
      <c r="L31" s="44"/>
      <c r="M31" s="44"/>
      <c r="N31" s="52"/>
      <c r="O31" s="52"/>
      <c r="P31" s="53">
        <v>45287</v>
      </c>
      <c r="Q31" s="58">
        <v>0.03</v>
      </c>
      <c r="R31" s="44"/>
      <c r="S31" s="53">
        <f t="shared" si="2"/>
        <v>45287</v>
      </c>
      <c r="T31" s="58">
        <f t="shared" si="4"/>
        <v>1.71</v>
      </c>
      <c r="U31" s="58">
        <f t="shared" si="3"/>
        <v>1.68</v>
      </c>
      <c r="V31" s="44"/>
      <c r="W31" s="44"/>
      <c r="X31" s="44"/>
      <c r="Y31" s="44"/>
      <c r="Z31" s="44"/>
      <c r="AA31" s="44"/>
      <c r="AB31" s="44"/>
    </row>
    <row r="32" spans="1:30" s="35" customFormat="1">
      <c r="A32" s="44"/>
      <c r="B32" s="44"/>
      <c r="C32" s="44"/>
      <c r="D32" s="44"/>
      <c r="E32" s="44"/>
      <c r="F32" s="44"/>
      <c r="G32" s="44"/>
      <c r="H32" s="44"/>
      <c r="I32" s="44"/>
      <c r="J32" s="44"/>
      <c r="K32" s="44"/>
      <c r="L32" s="44"/>
      <c r="M32" s="44"/>
      <c r="N32" s="52"/>
      <c r="O32" s="52"/>
      <c r="P32" s="53">
        <v>45372</v>
      </c>
      <c r="Q32" s="58">
        <v>8.8000000000000007</v>
      </c>
      <c r="R32" s="44"/>
      <c r="S32" s="53">
        <f t="shared" si="2"/>
        <v>45372</v>
      </c>
      <c r="T32" s="58">
        <f t="shared" si="4"/>
        <v>9.09</v>
      </c>
      <c r="U32" s="58">
        <f t="shared" si="3"/>
        <v>0.28999999999999998</v>
      </c>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4" customFormat="1" ht="140">
      <c r="A48" s="43">
        <v>3</v>
      </c>
      <c r="B48" s="43" t="str">
        <f>B26</f>
        <v>成都大鹏纵横智能设备有限公司</v>
      </c>
      <c r="C48" s="43" t="str">
        <f t="shared" ref="C48:G48" si="5">C26</f>
        <v>成都市双流区行政审批局局</v>
      </c>
      <c r="D48" s="43" t="str">
        <f t="shared" si="5"/>
        <v>91510122MA61WTENXR</v>
      </c>
      <c r="E48" s="43" t="str">
        <f t="shared" si="5"/>
        <v>有限责任公司（非自然人投资或控股的法人独资）</v>
      </c>
      <c r="F48" s="43" t="str">
        <f t="shared" si="5"/>
        <v>国家税务总局成都市双流区税务局</v>
      </c>
      <c r="G48" s="43" t="str">
        <f t="shared" si="5"/>
        <v>收款账号：4402939109100042983
开户行：中国工商银行成都府河音乐花园支行</v>
      </c>
      <c r="H48" s="43" t="s">
        <v>65</v>
      </c>
      <c r="I48" s="43" t="s">
        <v>57</v>
      </c>
      <c r="J48" s="43" t="s">
        <v>66</v>
      </c>
      <c r="K48" s="43">
        <v>1000</v>
      </c>
      <c r="L48" s="43" t="s">
        <v>1643</v>
      </c>
      <c r="M48" s="43" t="s">
        <v>1644</v>
      </c>
      <c r="N48" s="50">
        <v>45191</v>
      </c>
      <c r="O48" s="50">
        <v>45291</v>
      </c>
      <c r="P48" s="43">
        <f>P50-N48</f>
        <v>181</v>
      </c>
      <c r="Q48" s="55">
        <f>SUM(Q49:Q69)</f>
        <v>19.36</v>
      </c>
      <c r="R48" s="43">
        <v>4.1500000000000004</v>
      </c>
      <c r="S48" s="43"/>
      <c r="T48" s="43">
        <f>SUM(T49:T69)</f>
        <v>19.36</v>
      </c>
      <c r="U48" s="56">
        <v>3.85E-2</v>
      </c>
      <c r="V48" s="50"/>
      <c r="W48" s="43"/>
      <c r="X48" s="57">
        <v>1.4999999999999999E-2</v>
      </c>
      <c r="Y48" s="43">
        <f>ROUNDDOWN(IF((O48-N48+1)*K48*X48/365&gt;R48,R48,(O48-N48+1)*K48*X48/365),2)</f>
        <v>4.1500000000000004</v>
      </c>
      <c r="Z48" s="55">
        <f>R48-Y48</f>
        <v>0</v>
      </c>
      <c r="AA48" s="63"/>
      <c r="AB48" s="43" t="s">
        <v>61</v>
      </c>
    </row>
    <row r="49" spans="1:28" s="35" customFormat="1">
      <c r="A49" s="44"/>
      <c r="B49" s="44"/>
      <c r="C49" s="44"/>
      <c r="D49" s="44"/>
      <c r="E49" s="44"/>
      <c r="F49" s="44"/>
      <c r="G49" s="44"/>
      <c r="H49" s="44"/>
      <c r="I49" s="44"/>
      <c r="J49" s="44"/>
      <c r="K49" s="44"/>
      <c r="L49" s="44"/>
      <c r="M49" s="44"/>
      <c r="N49" s="52"/>
      <c r="O49" s="52">
        <v>45921</v>
      </c>
      <c r="P49" s="53">
        <v>45281</v>
      </c>
      <c r="Q49" s="58">
        <v>9.625</v>
      </c>
      <c r="R49" s="44"/>
      <c r="S49" s="53">
        <f>P49</f>
        <v>45281</v>
      </c>
      <c r="T49" s="58">
        <f>(S49-N48)/360*$U$48*$K$48</f>
        <v>9.6300000000000008</v>
      </c>
      <c r="U49" s="58">
        <f>T49-Q49</f>
        <v>0.01</v>
      </c>
      <c r="V49" s="52"/>
      <c r="W49" s="44"/>
      <c r="X49" s="44"/>
      <c r="Y49" s="44"/>
      <c r="Z49" s="44"/>
      <c r="AA49" s="44"/>
      <c r="AB49" s="44"/>
    </row>
    <row r="50" spans="1:28" s="35" customFormat="1">
      <c r="A50" s="44"/>
      <c r="B50" s="44"/>
      <c r="C50" s="44"/>
      <c r="D50" s="44"/>
      <c r="E50" s="44"/>
      <c r="F50" s="44"/>
      <c r="G50" s="44"/>
      <c r="H50" s="44"/>
      <c r="I50" s="44"/>
      <c r="J50" s="44"/>
      <c r="K50" s="44"/>
      <c r="L50" s="44"/>
      <c r="M50" s="44"/>
      <c r="N50" s="52"/>
      <c r="O50" s="52"/>
      <c r="P50" s="53">
        <v>45372</v>
      </c>
      <c r="Q50" s="58">
        <v>9.73</v>
      </c>
      <c r="R50" s="44"/>
      <c r="S50" s="53">
        <f t="shared" ref="S50" si="6">P50</f>
        <v>45372</v>
      </c>
      <c r="T50" s="58">
        <f>(S50-S49)*$U$48*$K$48/360</f>
        <v>9.73</v>
      </c>
      <c r="U50" s="58">
        <f t="shared" ref="U50" si="7">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4" customFormat="1" ht="140" hidden="1">
      <c r="A70" s="43">
        <v>4</v>
      </c>
      <c r="B70" s="43" t="str">
        <f>B48</f>
        <v>成都大鹏纵横智能设备有限公司</v>
      </c>
      <c r="C70" s="43" t="str">
        <f t="shared" ref="C70:G70" si="8">C48</f>
        <v>成都市双流区行政审批局局</v>
      </c>
      <c r="D70" s="43" t="str">
        <f t="shared" si="8"/>
        <v>91510122MA61WTENXR</v>
      </c>
      <c r="E70" s="43" t="str">
        <f t="shared" si="8"/>
        <v>有限责任公司（非自然人投资或控股的法人独资）</v>
      </c>
      <c r="F70" s="43" t="str">
        <f t="shared" si="8"/>
        <v>国家税务总局成都市双流区税务局</v>
      </c>
      <c r="G70" s="43" t="str">
        <f t="shared" si="8"/>
        <v>收款账号：4402939109100042983
开户行：中国工商银行成都府河音乐花园支行</v>
      </c>
      <c r="H70" s="43"/>
      <c r="I70" s="43"/>
      <c r="J70" s="43"/>
      <c r="K70" s="43"/>
      <c r="L70" s="43"/>
      <c r="M70" s="43"/>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44"/>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4" customFormat="1" ht="140" hidden="1">
      <c r="A92" s="43">
        <v>5</v>
      </c>
      <c r="B92" s="43" t="str">
        <f>B70</f>
        <v>成都大鹏纵横智能设备有限公司</v>
      </c>
      <c r="C92" s="43" t="str">
        <f t="shared" ref="C92:G92" si="9">C70</f>
        <v>成都市双流区行政审批局局</v>
      </c>
      <c r="D92" s="43" t="str">
        <f t="shared" si="9"/>
        <v>91510122MA61WTENXR</v>
      </c>
      <c r="E92" s="43" t="str">
        <f t="shared" si="9"/>
        <v>有限责任公司（非自然人投资或控股的法人独资）</v>
      </c>
      <c r="F92" s="43" t="str">
        <f t="shared" si="9"/>
        <v>国家税务总局成都市双流区税务局</v>
      </c>
      <c r="G92" s="43" t="str">
        <f t="shared" si="9"/>
        <v>收款账号：4402939109100042983
开户行：中国工商银行成都府河音乐花园支行</v>
      </c>
      <c r="H92" s="43"/>
      <c r="I92" s="43"/>
      <c r="J92" s="43"/>
      <c r="K92" s="43"/>
      <c r="L92" s="43"/>
      <c r="M92" s="43"/>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44"/>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4000</v>
      </c>
      <c r="L114" s="43"/>
      <c r="M114" s="43"/>
      <c r="N114" s="50"/>
      <c r="O114" s="50"/>
      <c r="P114" s="43"/>
      <c r="Q114" s="43"/>
      <c r="R114" s="43">
        <f>R92+R70+R48+R26++R4</f>
        <v>55.8</v>
      </c>
      <c r="S114" s="43"/>
      <c r="T114" s="43"/>
      <c r="U114" s="43"/>
      <c r="V114" s="43"/>
      <c r="W114" s="43"/>
      <c r="X114" s="43"/>
      <c r="Y114" s="43">
        <f>Y92+Y70+Y48+Y26++Y4</f>
        <v>55.8</v>
      </c>
      <c r="Z114" s="43"/>
      <c r="AA114" s="43"/>
      <c r="AB114" s="43"/>
    </row>
    <row r="115" spans="1:28">
      <c r="I115" s="36" t="s">
        <v>49</v>
      </c>
      <c r="K115" s="36" t="str">
        <f>IF(K114&gt;3000,K116,K114)</f>
        <v>错</v>
      </c>
    </row>
    <row r="116" spans="1:28" hidden="1">
      <c r="K116" s="36" t="s">
        <v>50</v>
      </c>
    </row>
  </sheetData>
  <autoFilter ref="A3:AD8" xr:uid="{00000000-0009-0000-0000-0000C7000000}">
    <sortState xmlns:xlrd2="http://schemas.microsoft.com/office/spreadsheetml/2017/richdata2" ref="A4:AD8">
      <sortCondition sortBy="cellColor" ref="B3" dxfId="1"/>
    </sortState>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AD116"/>
  <sheetViews>
    <sheetView topLeftCell="B1" zoomScale="69" zoomScaleNormal="69" workbookViewId="0">
      <pane ySplit="3" topLeftCell="A4" activePane="bottomLeft" state="frozen"/>
      <selection pane="bottomLeft" activeCell="W5" sqref="W5"/>
    </sheetView>
  </sheetViews>
  <sheetFormatPr defaultColWidth="9" defaultRowHeight="14"/>
  <cols>
    <col min="7" max="7" width="8.58203125" customWidth="1"/>
    <col min="13" max="13" width="8.58203125"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成都联帮医疗科技股份有限公司审计明细表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1" t="s">
        <v>28</v>
      </c>
      <c r="Z3" s="7" t="s">
        <v>29</v>
      </c>
      <c r="AA3" s="7" t="s">
        <v>30</v>
      </c>
      <c r="AB3" s="156"/>
      <c r="AC3" s="27"/>
    </row>
    <row r="4" spans="1:30" s="1" customFormat="1" ht="112">
      <c r="A4" s="9">
        <v>1</v>
      </c>
      <c r="B4" s="9" t="s">
        <v>633</v>
      </c>
      <c r="C4" s="9" t="s">
        <v>52</v>
      </c>
      <c r="D4" s="9" t="s">
        <v>1645</v>
      </c>
      <c r="E4" s="9" t="s">
        <v>1646</v>
      </c>
      <c r="F4" s="9" t="s">
        <v>787</v>
      </c>
      <c r="G4" s="9" t="s">
        <v>1647</v>
      </c>
      <c r="H4" s="9" t="s">
        <v>65</v>
      </c>
      <c r="I4" s="9" t="s">
        <v>1648</v>
      </c>
      <c r="J4" s="9" t="s">
        <v>1649</v>
      </c>
      <c r="K4" s="9">
        <v>1000</v>
      </c>
      <c r="L4" s="9" t="s">
        <v>1650</v>
      </c>
      <c r="M4" s="20" t="s">
        <v>1651</v>
      </c>
      <c r="N4" s="16">
        <v>44825</v>
      </c>
      <c r="O4" s="16">
        <v>45117</v>
      </c>
      <c r="P4" s="9">
        <f>P14-N4</f>
        <v>292</v>
      </c>
      <c r="Q4" s="22">
        <f>SUM(Q5:Q25)</f>
        <v>29.59</v>
      </c>
      <c r="R4" s="22">
        <v>12.04</v>
      </c>
      <c r="S4" s="9"/>
      <c r="T4" s="22">
        <f>SUM(T5:T25)</f>
        <v>29.59</v>
      </c>
      <c r="U4" s="23">
        <v>3.6499999999999998E-2</v>
      </c>
      <c r="V4" s="16"/>
      <c r="W4" s="9" t="s">
        <v>1652</v>
      </c>
      <c r="X4" s="24">
        <v>1.4999999999999999E-2</v>
      </c>
      <c r="Y4" s="9">
        <f>ROUNDDOWN(IF((O4-N4+1)*K4*X4/365&gt;R4,R4,(O4-N4+1)*K4*X4/365),2)</f>
        <v>12.04</v>
      </c>
      <c r="Z4" s="22">
        <f>R4-Y4</f>
        <v>0</v>
      </c>
      <c r="AA4" s="22"/>
      <c r="AB4" s="9" t="s">
        <v>61</v>
      </c>
      <c r="AD4" s="28">
        <f>(O4-N4+1)*K4*X4/365</f>
        <v>12.0411</v>
      </c>
    </row>
    <row r="5" spans="1:30" s="2" customFormat="1">
      <c r="A5" s="10"/>
      <c r="B5" s="10"/>
      <c r="C5" s="10"/>
      <c r="D5" s="10"/>
      <c r="E5" s="10"/>
      <c r="F5" s="10"/>
      <c r="G5" s="10"/>
      <c r="H5" s="10"/>
      <c r="I5" s="10"/>
      <c r="J5" s="10"/>
      <c r="K5" s="10"/>
      <c r="L5" s="10"/>
      <c r="M5" s="17"/>
      <c r="N5" s="18"/>
      <c r="O5" s="18"/>
      <c r="P5" s="19">
        <v>44855</v>
      </c>
      <c r="Q5" s="25">
        <v>3.04</v>
      </c>
      <c r="R5" s="10"/>
      <c r="S5" s="19">
        <f t="shared" ref="S5:S14" si="0">P5</f>
        <v>44855</v>
      </c>
      <c r="T5" s="25">
        <f>(S5-N4)/360*$U$4*$K$4</f>
        <v>3.04</v>
      </c>
      <c r="U5" s="25">
        <f t="shared" ref="U5:U14" si="1">T5-Q5</f>
        <v>0</v>
      </c>
      <c r="V5" s="18"/>
      <c r="W5" s="10"/>
      <c r="X5" s="10"/>
      <c r="Y5" s="10"/>
      <c r="Z5" s="10"/>
      <c r="AA5" s="10"/>
      <c r="AB5" s="10"/>
    </row>
    <row r="6" spans="1:30" s="2" customFormat="1">
      <c r="A6" s="10"/>
      <c r="B6" s="10"/>
      <c r="C6" s="10"/>
      <c r="D6" s="10"/>
      <c r="E6" s="10"/>
      <c r="F6" s="10"/>
      <c r="G6" s="10"/>
      <c r="H6" s="10"/>
      <c r="I6" s="10"/>
      <c r="J6" s="10"/>
      <c r="K6" s="10"/>
      <c r="L6" s="10"/>
      <c r="M6" s="17"/>
      <c r="N6" s="18"/>
      <c r="O6" s="18"/>
      <c r="P6" s="19">
        <v>44886</v>
      </c>
      <c r="Q6" s="25">
        <v>3.14</v>
      </c>
      <c r="R6" s="10"/>
      <c r="S6" s="19">
        <f t="shared" si="0"/>
        <v>44886</v>
      </c>
      <c r="T6" s="25">
        <f t="shared" ref="T6:T14" si="2">(S6-S5)*$K$4*$U$4/360</f>
        <v>3.14</v>
      </c>
      <c r="U6" s="25">
        <f t="shared" si="1"/>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44916</v>
      </c>
      <c r="Q7" s="25">
        <v>3.04</v>
      </c>
      <c r="R7" s="10"/>
      <c r="S7" s="19">
        <f t="shared" si="0"/>
        <v>44916</v>
      </c>
      <c r="T7" s="25">
        <f t="shared" si="2"/>
        <v>3.04</v>
      </c>
      <c r="U7" s="25">
        <f t="shared" si="1"/>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44947</v>
      </c>
      <c r="Q8" s="25">
        <v>3.14</v>
      </c>
      <c r="R8" s="10"/>
      <c r="S8" s="19">
        <f t="shared" si="0"/>
        <v>44947</v>
      </c>
      <c r="T8" s="25">
        <f t="shared" si="2"/>
        <v>3.14</v>
      </c>
      <c r="U8" s="25">
        <f t="shared" si="1"/>
        <v>0</v>
      </c>
      <c r="V8" s="10"/>
      <c r="W8" s="10"/>
      <c r="X8" s="10"/>
      <c r="Y8" s="10"/>
      <c r="Z8" s="10"/>
      <c r="AA8" s="10"/>
      <c r="AB8" s="10"/>
    </row>
    <row r="9" spans="1:30" s="2" customFormat="1">
      <c r="A9" s="10"/>
      <c r="B9" s="10"/>
      <c r="C9" s="10"/>
      <c r="D9" s="10"/>
      <c r="E9" s="10"/>
      <c r="F9" s="10"/>
      <c r="G9" s="10"/>
      <c r="H9" s="10"/>
      <c r="I9" s="10"/>
      <c r="J9" s="10"/>
      <c r="K9" s="10"/>
      <c r="L9" s="10"/>
      <c r="M9" s="17"/>
      <c r="N9" s="18"/>
      <c r="O9" s="18"/>
      <c r="P9" s="19">
        <v>44978</v>
      </c>
      <c r="Q9" s="25">
        <v>3.14</v>
      </c>
      <c r="R9" s="10"/>
      <c r="S9" s="19">
        <f t="shared" si="0"/>
        <v>44978</v>
      </c>
      <c r="T9" s="25">
        <f t="shared" si="2"/>
        <v>3.14</v>
      </c>
      <c r="U9" s="25">
        <f t="shared" si="1"/>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45006</v>
      </c>
      <c r="Q10" s="25">
        <v>2.84</v>
      </c>
      <c r="R10" s="10"/>
      <c r="S10" s="19">
        <f t="shared" si="0"/>
        <v>45006</v>
      </c>
      <c r="T10" s="25">
        <f t="shared" si="2"/>
        <v>2.84</v>
      </c>
      <c r="U10" s="25">
        <f t="shared" si="1"/>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45037</v>
      </c>
      <c r="Q11" s="25">
        <v>3.14</v>
      </c>
      <c r="R11" s="10"/>
      <c r="S11" s="19">
        <f t="shared" si="0"/>
        <v>45037</v>
      </c>
      <c r="T11" s="25">
        <f t="shared" si="2"/>
        <v>3.14</v>
      </c>
      <c r="U11" s="25">
        <f t="shared" si="1"/>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45067</v>
      </c>
      <c r="Q12" s="25">
        <v>3.04</v>
      </c>
      <c r="R12" s="10"/>
      <c r="S12" s="19">
        <f t="shared" si="0"/>
        <v>45067</v>
      </c>
      <c r="T12" s="25">
        <f t="shared" si="2"/>
        <v>3.04</v>
      </c>
      <c r="U12" s="25">
        <f t="shared" si="1"/>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45098</v>
      </c>
      <c r="Q13" s="25">
        <v>3.14</v>
      </c>
      <c r="R13" s="10"/>
      <c r="S13" s="19">
        <f t="shared" si="0"/>
        <v>45098</v>
      </c>
      <c r="T13" s="25">
        <f t="shared" si="2"/>
        <v>3.14</v>
      </c>
      <c r="U13" s="25">
        <f t="shared" si="1"/>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45117</v>
      </c>
      <c r="Q14" s="25">
        <v>1.93</v>
      </c>
      <c r="R14" s="10"/>
      <c r="S14" s="19">
        <f t="shared" si="0"/>
        <v>45117</v>
      </c>
      <c r="T14" s="25">
        <f t="shared" si="2"/>
        <v>1.93</v>
      </c>
      <c r="U14" s="25">
        <f t="shared" si="1"/>
        <v>0</v>
      </c>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hidden="1">
      <c r="A26" s="9">
        <v>2</v>
      </c>
      <c r="B26" s="9" t="str">
        <f t="shared" ref="B26:G26" si="3">B4</f>
        <v>成都联帮医疗科技股份有限公司</v>
      </c>
      <c r="C26" s="9" t="str">
        <f t="shared" si="3"/>
        <v>成都市市场监督管理局</v>
      </c>
      <c r="D26" s="9" t="str">
        <f t="shared" si="3"/>
        <v>91510100633135511R</v>
      </c>
      <c r="E26" s="9" t="str">
        <f t="shared" si="3"/>
        <v>股份有限公司(非上市、自然人投资或控股)</v>
      </c>
      <c r="F26" s="9" t="str">
        <f t="shared" si="3"/>
        <v>国家税务总局成都市双流区税务局</v>
      </c>
      <c r="G26" s="9" t="str">
        <f t="shared" si="3"/>
        <v>收款账号：02012010217017600017
开户行：成都银行双流支行</v>
      </c>
      <c r="H26" s="9"/>
      <c r="I26" s="9"/>
      <c r="J26" s="9"/>
      <c r="K26" s="9"/>
      <c r="L26" s="9"/>
      <c r="M26" s="20"/>
      <c r="N26" s="16"/>
      <c r="O26" s="16"/>
      <c r="P26" s="9">
        <f>P32-N26</f>
        <v>0</v>
      </c>
      <c r="Q26" s="22">
        <f>SUM(Q27:Q47)</f>
        <v>0</v>
      </c>
      <c r="R26" s="9"/>
      <c r="S26" s="9"/>
      <c r="T26" s="9">
        <f>SUM(T27:T47)</f>
        <v>0</v>
      </c>
      <c r="U26" s="23"/>
      <c r="V26" s="16"/>
      <c r="W26" s="9"/>
      <c r="X26" s="24"/>
      <c r="Y26" s="9">
        <f>ROUNDUP(IF((O26-N26+1)*K26*X26/365&gt;R26,R26,(O26-N26+1)*K26*X26/365),2)</f>
        <v>0</v>
      </c>
      <c r="Z26" s="9"/>
      <c r="AA26" s="9"/>
      <c r="AB26" s="9"/>
      <c r="AD26" s="28">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 t="shared" ref="S27:S32" si="4">P27</f>
        <v>0</v>
      </c>
      <c r="T27" s="25">
        <f>(S27-N26)/360*$U$26*$K$26</f>
        <v>0</v>
      </c>
      <c r="U27" s="25">
        <f t="shared" ref="U27:U32" si="5">T27-Q27</f>
        <v>0</v>
      </c>
      <c r="V27" s="18">
        <v>45287</v>
      </c>
      <c r="W27" s="10">
        <v>50</v>
      </c>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si="4"/>
        <v>0</v>
      </c>
      <c r="T28" s="25">
        <f>(S28-S27)*$U$26*$K$26/360</f>
        <v>0</v>
      </c>
      <c r="U28" s="25">
        <f t="shared" si="5"/>
        <v>0</v>
      </c>
      <c r="V28" s="18">
        <v>45291</v>
      </c>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(S30-S29)*$U$26*$K$26/360</f>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(S31-S30)*$U$26*$K$26/360</f>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(S32-S31)*$U$26*$K$26/360</f>
        <v>0</v>
      </c>
      <c r="U32" s="25">
        <f t="shared" si="5"/>
        <v>0</v>
      </c>
      <c r="V32" s="10"/>
      <c r="W32" s="10"/>
      <c r="X32" s="10"/>
      <c r="Y32" s="10"/>
      <c r="Z32" s="10"/>
      <c r="AA32" s="10"/>
      <c r="AB32" s="10"/>
    </row>
    <row r="33" spans="1:30"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30"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30"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30"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30"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30"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30"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30"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30"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30"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30"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30"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30"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30"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30"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30" s="1" customFormat="1" ht="112" hidden="1">
      <c r="A48" s="9">
        <v>3</v>
      </c>
      <c r="B48" s="9" t="str">
        <f t="shared" ref="B48:G48" si="6">B26</f>
        <v>成都联帮医疗科技股份有限公司</v>
      </c>
      <c r="C48" s="9" t="str">
        <f t="shared" si="6"/>
        <v>成都市市场监督管理局</v>
      </c>
      <c r="D48" s="9" t="str">
        <f t="shared" si="6"/>
        <v>91510100633135511R</v>
      </c>
      <c r="E48" s="9" t="str">
        <f t="shared" si="6"/>
        <v>股份有限公司(非上市、自然人投资或控股)</v>
      </c>
      <c r="F48" s="9" t="str">
        <f t="shared" si="6"/>
        <v>国家税务总局成都市双流区税务局</v>
      </c>
      <c r="G48" s="9" t="str">
        <f t="shared" si="6"/>
        <v>收款账号：02012010217017600017
开户行：成都银行双流支行</v>
      </c>
      <c r="H48" s="9"/>
      <c r="I48" s="9"/>
      <c r="J48" s="9"/>
      <c r="K48" s="9"/>
      <c r="L48" s="9"/>
      <c r="M48" s="20"/>
      <c r="N48" s="16"/>
      <c r="O48" s="16"/>
      <c r="P48" s="9">
        <f>P50-N48</f>
        <v>0</v>
      </c>
      <c r="Q48" s="22">
        <f>SUM(Q49:Q69)</f>
        <v>0</v>
      </c>
      <c r="R48" s="9"/>
      <c r="S48" s="9"/>
      <c r="T48" s="9">
        <f>SUM(T49:T69)</f>
        <v>0</v>
      </c>
      <c r="U48" s="23"/>
      <c r="V48" s="16"/>
      <c r="W48" s="9"/>
      <c r="X48" s="24"/>
      <c r="Y48" s="9">
        <f>ROUNDUP(IF((O48-N48+1)*K48*X48/365&gt;R48,R48,(O48-N48+1)*K48*X48/365),2)</f>
        <v>0</v>
      </c>
      <c r="Z48" s="30"/>
      <c r="AA48" s="30"/>
      <c r="AB48" s="9"/>
      <c r="AD48" s="28">
        <f>(O48-N48+1)*K48*X48/365</f>
        <v>0</v>
      </c>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P50</f>
        <v>0</v>
      </c>
      <c r="T50" s="25">
        <f>(S50-S49)*$U$48*$K$48/360</f>
        <v>0</v>
      </c>
      <c r="U50" s="25">
        <f>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30"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30"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30"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30"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30"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30" s="1" customFormat="1" ht="112" hidden="1">
      <c r="A70" s="9">
        <v>4</v>
      </c>
      <c r="B70" s="9" t="str">
        <f t="shared" ref="B70:G70" si="7">B48</f>
        <v>成都联帮医疗科技股份有限公司</v>
      </c>
      <c r="C70" s="9" t="str">
        <f t="shared" si="7"/>
        <v>成都市市场监督管理局</v>
      </c>
      <c r="D70" s="9" t="str">
        <f t="shared" si="7"/>
        <v>91510100633135511R</v>
      </c>
      <c r="E70" s="9" t="str">
        <f t="shared" si="7"/>
        <v>股份有限公司(非上市、自然人投资或控股)</v>
      </c>
      <c r="F70" s="9" t="str">
        <f t="shared" si="7"/>
        <v>国家税务总局成都市双流区税务局</v>
      </c>
      <c r="G70" s="9" t="str">
        <f t="shared" si="7"/>
        <v>收款账号：02012010217017600017
开户行：成都银行双流支行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c r="AD70" s="28">
        <f>(O70-N70+1)*K70*X70/365</f>
        <v>0</v>
      </c>
    </row>
    <row r="71" spans="1:30"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30"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30"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30"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30"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30"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30"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30"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30"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30"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30"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30"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30"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30"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30"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30"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30"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30"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30"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30"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30"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30" s="1" customFormat="1" ht="112" hidden="1">
      <c r="A92" s="9">
        <v>5</v>
      </c>
      <c r="B92" s="9" t="str">
        <f t="shared" ref="B92:G92" si="8">B70</f>
        <v>成都联帮医疗科技股份有限公司</v>
      </c>
      <c r="C92" s="9" t="str">
        <f t="shared" si="8"/>
        <v>成都市市场监督管理局</v>
      </c>
      <c r="D92" s="9" t="str">
        <f t="shared" si="8"/>
        <v>91510100633135511R</v>
      </c>
      <c r="E92" s="9" t="str">
        <f t="shared" si="8"/>
        <v>股份有限公司(非上市、自然人投资或控股)</v>
      </c>
      <c r="F92" s="9" t="str">
        <f t="shared" si="8"/>
        <v>国家税务总局成都市双流区税务局</v>
      </c>
      <c r="G92" s="9" t="str">
        <f t="shared" si="8"/>
        <v>收款账号：02012010217017600017
开户行：成都银行双流支行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c r="AD92" s="28">
        <f>(O92-N92+1)*K92*X92/365</f>
        <v>0</v>
      </c>
    </row>
    <row r="93" spans="1:30"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30"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30"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30"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12.04</v>
      </c>
      <c r="S114" s="9"/>
      <c r="T114" s="9"/>
      <c r="U114" s="9"/>
      <c r="V114" s="9"/>
      <c r="W114" s="9"/>
      <c r="X114" s="9"/>
      <c r="Y114" s="9">
        <f>Y92+Y70+Y48+Y26++Y4</f>
        <v>12.04</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AD116"/>
  <sheetViews>
    <sheetView topLeftCell="I1" zoomScale="69" zoomScaleNormal="69" workbookViewId="0">
      <pane ySplit="3" topLeftCell="A12" activePane="bottomLeft" state="frozen"/>
      <selection pane="bottomLeft" activeCell="J5" sqref="J5"/>
    </sheetView>
  </sheetViews>
  <sheetFormatPr defaultColWidth="9" defaultRowHeight="14"/>
  <cols>
    <col min="1" max="6" width="9" style="36"/>
    <col min="7" max="7" width="8.58203125" style="36" customWidth="1"/>
    <col min="8" max="12" width="9" style="36"/>
    <col min="13" max="13" width="15.5" style="36" customWidth="1"/>
    <col min="14" max="15" width="10.75" style="38" customWidth="1"/>
    <col min="16" max="16" width="9.83203125" style="36" customWidth="1"/>
    <col min="17" max="18" width="9" style="36"/>
    <col min="19" max="19" width="9.83203125" style="36" customWidth="1"/>
    <col min="20" max="20" width="9" style="36" customWidth="1"/>
    <col min="21" max="21" width="9" style="36"/>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中电九天智能科技有限公司审计明细表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22</v>
      </c>
      <c r="T3" s="54" t="s">
        <v>23</v>
      </c>
      <c r="U3" s="41" t="s">
        <v>24</v>
      </c>
      <c r="V3" s="41" t="s">
        <v>25</v>
      </c>
      <c r="W3" s="41" t="s">
        <v>26</v>
      </c>
      <c r="X3" s="41" t="s">
        <v>27</v>
      </c>
      <c r="Y3" s="41" t="s">
        <v>784</v>
      </c>
      <c r="Z3" s="41" t="s">
        <v>29</v>
      </c>
      <c r="AA3" s="41" t="s">
        <v>30</v>
      </c>
      <c r="AB3" s="167"/>
      <c r="AC3" s="60"/>
    </row>
    <row r="4" spans="1:30" s="34" customFormat="1" ht="140">
      <c r="A4" s="43">
        <v>1</v>
      </c>
      <c r="B4" s="43" t="s">
        <v>737</v>
      </c>
      <c r="C4" s="43" t="s">
        <v>1631</v>
      </c>
      <c r="D4" s="43" t="s">
        <v>1636</v>
      </c>
      <c r="E4" s="43" t="s">
        <v>808</v>
      </c>
      <c r="F4" s="43" t="s">
        <v>787</v>
      </c>
      <c r="G4" s="43" t="s">
        <v>1637</v>
      </c>
      <c r="H4" s="43" t="s">
        <v>65</v>
      </c>
      <c r="I4" s="43" t="s">
        <v>1653</v>
      </c>
      <c r="J4" s="43" t="s">
        <v>66</v>
      </c>
      <c r="K4" s="43">
        <v>1000</v>
      </c>
      <c r="L4" s="43" t="s">
        <v>1654</v>
      </c>
      <c r="M4" s="49" t="s">
        <v>1655</v>
      </c>
      <c r="N4" s="50">
        <v>44875</v>
      </c>
      <c r="O4" s="50">
        <v>45291</v>
      </c>
      <c r="P4" s="43">
        <f>P19-N4</f>
        <v>437</v>
      </c>
      <c r="Q4" s="55">
        <f>SUM(Q5:Q25)</f>
        <v>35.29</v>
      </c>
      <c r="R4" s="55">
        <v>17.13</v>
      </c>
      <c r="S4" s="43"/>
      <c r="T4" s="55">
        <f>SUM(T5:T25)</f>
        <v>36.39</v>
      </c>
      <c r="U4" s="56">
        <v>0.03</v>
      </c>
      <c r="V4" s="50"/>
      <c r="W4" s="43" t="s">
        <v>42</v>
      </c>
      <c r="X4" s="57">
        <v>1.4999999999999999E-2</v>
      </c>
      <c r="Y4" s="43">
        <f>ROUNDDOWN(IF((O4-N4+1)*K4*X4/365&gt;R4,R4,(O4-N4+1)*K4*X4/365),2)</f>
        <v>17.13</v>
      </c>
      <c r="Z4" s="55">
        <f>R4-Y4</f>
        <v>0</v>
      </c>
      <c r="AA4" s="55"/>
      <c r="AB4" s="43" t="s">
        <v>61</v>
      </c>
      <c r="AD4" s="61"/>
    </row>
    <row r="5" spans="1:30" s="35" customFormat="1">
      <c r="A5" s="44"/>
      <c r="B5" s="44"/>
      <c r="C5" s="44"/>
      <c r="D5" s="44"/>
      <c r="E5" s="44"/>
      <c r="F5" s="44"/>
      <c r="G5" s="44"/>
      <c r="H5" s="44"/>
      <c r="I5" s="44"/>
      <c r="J5" s="44"/>
      <c r="K5" s="44"/>
      <c r="L5" s="44"/>
      <c r="M5" s="44"/>
      <c r="N5" s="52"/>
      <c r="O5" s="50">
        <v>45590</v>
      </c>
      <c r="P5" s="53">
        <v>44886</v>
      </c>
      <c r="Q5" s="62">
        <v>0.92</v>
      </c>
      <c r="R5" s="44"/>
      <c r="S5" s="53">
        <f>P5</f>
        <v>44886</v>
      </c>
      <c r="T5" s="58">
        <f>(S5-N4)/360*$U$4*$K$4</f>
        <v>0.92</v>
      </c>
      <c r="U5" s="58">
        <f>T5-Q5</f>
        <v>0</v>
      </c>
      <c r="V5" s="52"/>
      <c r="W5" s="44"/>
      <c r="X5" s="44"/>
      <c r="Y5" s="44"/>
      <c r="Z5" s="44"/>
      <c r="AA5" s="44"/>
      <c r="AB5" s="44"/>
    </row>
    <row r="6" spans="1:30" s="35" customFormat="1">
      <c r="A6" s="44"/>
      <c r="B6" s="44"/>
      <c r="C6" s="44"/>
      <c r="D6" s="44"/>
      <c r="E6" s="44"/>
      <c r="F6" s="44"/>
      <c r="G6" s="44"/>
      <c r="H6" s="44"/>
      <c r="I6" s="44"/>
      <c r="J6" s="44"/>
      <c r="K6" s="44"/>
      <c r="L6" s="44"/>
      <c r="M6" s="44"/>
      <c r="N6" s="52"/>
      <c r="O6" s="52"/>
      <c r="P6" s="53">
        <v>44916</v>
      </c>
      <c r="Q6" s="62">
        <v>2.5</v>
      </c>
      <c r="R6" s="44"/>
      <c r="S6" s="53">
        <f t="shared" ref="S6:S19" si="0">P6</f>
        <v>44916</v>
      </c>
      <c r="T6" s="58">
        <f>(S6-S5)*$K$4*$U$4/360</f>
        <v>2.5</v>
      </c>
      <c r="U6" s="58">
        <f>T6-Q6</f>
        <v>0</v>
      </c>
      <c r="V6" s="44"/>
      <c r="W6" s="44"/>
      <c r="X6" s="44"/>
      <c r="Y6" s="44"/>
      <c r="Z6" s="44"/>
      <c r="AA6" s="44"/>
      <c r="AB6" s="44"/>
    </row>
    <row r="7" spans="1:30" s="35" customFormat="1">
      <c r="A7" s="44"/>
      <c r="B7" s="44"/>
      <c r="C7" s="44"/>
      <c r="D7" s="44"/>
      <c r="E7" s="44"/>
      <c r="F7" s="44"/>
      <c r="G7" s="44"/>
      <c r="H7" s="44"/>
      <c r="I7" s="44"/>
      <c r="J7" s="44"/>
      <c r="K7" s="44"/>
      <c r="L7" s="44"/>
      <c r="M7" s="44"/>
      <c r="N7" s="52"/>
      <c r="O7" s="52"/>
      <c r="P7" s="53">
        <v>44947</v>
      </c>
      <c r="Q7" s="62">
        <v>2.58</v>
      </c>
      <c r="R7" s="44"/>
      <c r="S7" s="53">
        <f t="shared" si="0"/>
        <v>44947</v>
      </c>
      <c r="T7" s="58">
        <f t="shared" ref="T7:T19" si="1">(S7-S6)*$K$4*$U$4/360</f>
        <v>2.58</v>
      </c>
      <c r="U7" s="58">
        <f t="shared" ref="U7:U19" si="2">T7-Q7</f>
        <v>0</v>
      </c>
      <c r="V7" s="44"/>
      <c r="W7" s="44"/>
      <c r="X7" s="44"/>
      <c r="Y7" s="44"/>
      <c r="Z7" s="44"/>
      <c r="AA7" s="44"/>
      <c r="AB7" s="44"/>
    </row>
    <row r="8" spans="1:30" s="35" customFormat="1">
      <c r="A8" s="44"/>
      <c r="B8" s="44"/>
      <c r="C8" s="44"/>
      <c r="D8" s="44"/>
      <c r="E8" s="44"/>
      <c r="F8" s="44"/>
      <c r="G8" s="44"/>
      <c r="H8" s="44"/>
      <c r="I8" s="44"/>
      <c r="J8" s="44"/>
      <c r="K8" s="44"/>
      <c r="L8" s="44"/>
      <c r="M8" s="44"/>
      <c r="N8" s="52"/>
      <c r="O8" s="52"/>
      <c r="P8" s="53">
        <v>44978</v>
      </c>
      <c r="Q8" s="62">
        <v>2.58</v>
      </c>
      <c r="R8" s="44"/>
      <c r="S8" s="53">
        <f t="shared" si="0"/>
        <v>44978</v>
      </c>
      <c r="T8" s="58">
        <f t="shared" si="1"/>
        <v>2.58</v>
      </c>
      <c r="U8" s="58">
        <f t="shared" si="2"/>
        <v>0</v>
      </c>
      <c r="V8" s="44"/>
      <c r="W8" s="44"/>
      <c r="X8" s="44"/>
      <c r="Y8" s="44"/>
      <c r="Z8" s="44"/>
      <c r="AA8" s="44"/>
      <c r="AB8" s="44"/>
    </row>
    <row r="9" spans="1:30" s="35" customFormat="1">
      <c r="A9" s="44"/>
      <c r="B9" s="44"/>
      <c r="C9" s="44"/>
      <c r="D9" s="44"/>
      <c r="E9" s="44"/>
      <c r="F9" s="44"/>
      <c r="G9" s="44"/>
      <c r="H9" s="44"/>
      <c r="I9" s="44"/>
      <c r="J9" s="44"/>
      <c r="K9" s="44"/>
      <c r="L9" s="44"/>
      <c r="M9" s="44"/>
      <c r="N9" s="52"/>
      <c r="O9" s="52"/>
      <c r="P9" s="53">
        <v>45006</v>
      </c>
      <c r="Q9" s="62">
        <v>2.33</v>
      </c>
      <c r="R9" s="44"/>
      <c r="S9" s="53">
        <f t="shared" si="0"/>
        <v>45006</v>
      </c>
      <c r="T9" s="58">
        <f t="shared" si="1"/>
        <v>2.33</v>
      </c>
      <c r="U9" s="58">
        <f t="shared" si="2"/>
        <v>0</v>
      </c>
      <c r="V9" s="44"/>
      <c r="W9" s="44"/>
      <c r="X9" s="44"/>
      <c r="Y9" s="44"/>
      <c r="Z9" s="44"/>
      <c r="AA9" s="44"/>
      <c r="AB9" s="44"/>
    </row>
    <row r="10" spans="1:30" s="35" customFormat="1">
      <c r="A10" s="44"/>
      <c r="B10" s="44"/>
      <c r="C10" s="44"/>
      <c r="D10" s="44"/>
      <c r="E10" s="44"/>
      <c r="F10" s="44"/>
      <c r="G10" s="44"/>
      <c r="H10" s="44"/>
      <c r="I10" s="44"/>
      <c r="J10" s="44"/>
      <c r="K10" s="44"/>
      <c r="L10" s="44"/>
      <c r="M10" s="44"/>
      <c r="N10" s="52"/>
      <c r="O10" s="52"/>
      <c r="P10" s="53">
        <v>45037</v>
      </c>
      <c r="Q10" s="62">
        <v>2.58</v>
      </c>
      <c r="R10" s="44"/>
      <c r="S10" s="53">
        <f t="shared" si="0"/>
        <v>45037</v>
      </c>
      <c r="T10" s="58">
        <f t="shared" si="1"/>
        <v>2.58</v>
      </c>
      <c r="U10" s="58">
        <f t="shared" si="2"/>
        <v>0</v>
      </c>
      <c r="V10" s="44"/>
      <c r="W10" s="44"/>
      <c r="X10" s="44"/>
      <c r="Y10" s="44"/>
      <c r="Z10" s="44"/>
      <c r="AA10" s="44"/>
      <c r="AB10" s="44"/>
    </row>
    <row r="11" spans="1:30" s="35" customFormat="1">
      <c r="A11" s="44"/>
      <c r="B11" s="44"/>
      <c r="C11" s="44"/>
      <c r="D11" s="44"/>
      <c r="E11" s="44"/>
      <c r="F11" s="44"/>
      <c r="G11" s="44"/>
      <c r="H11" s="44"/>
      <c r="I11" s="44"/>
      <c r="J11" s="44"/>
      <c r="K11" s="44"/>
      <c r="L11" s="44"/>
      <c r="M11" s="44"/>
      <c r="N11" s="52"/>
      <c r="O11" s="52"/>
      <c r="P11" s="53">
        <v>45067</v>
      </c>
      <c r="Q11" s="62">
        <v>2.5</v>
      </c>
      <c r="R11" s="44"/>
      <c r="S11" s="53">
        <f t="shared" si="0"/>
        <v>45067</v>
      </c>
      <c r="T11" s="58">
        <f t="shared" si="1"/>
        <v>2.5</v>
      </c>
      <c r="U11" s="58">
        <f t="shared" si="2"/>
        <v>0</v>
      </c>
      <c r="V11" s="44"/>
      <c r="W11" s="44"/>
      <c r="X11" s="44"/>
      <c r="Y11" s="44"/>
      <c r="Z11" s="44"/>
      <c r="AA11" s="44"/>
      <c r="AB11" s="44"/>
    </row>
    <row r="12" spans="1:30" s="35" customFormat="1">
      <c r="A12" s="44"/>
      <c r="B12" s="44"/>
      <c r="C12" s="44"/>
      <c r="D12" s="44"/>
      <c r="E12" s="44"/>
      <c r="F12" s="44"/>
      <c r="G12" s="44"/>
      <c r="H12" s="44"/>
      <c r="I12" s="44"/>
      <c r="J12" s="44"/>
      <c r="K12" s="44"/>
      <c r="L12" s="44"/>
      <c r="M12" s="44"/>
      <c r="N12" s="52"/>
      <c r="O12" s="52"/>
      <c r="P12" s="53">
        <v>45098</v>
      </c>
      <c r="Q12" s="62">
        <v>2.58</v>
      </c>
      <c r="R12" s="44"/>
      <c r="S12" s="53">
        <f t="shared" si="0"/>
        <v>45098</v>
      </c>
      <c r="T12" s="58">
        <f t="shared" si="1"/>
        <v>2.58</v>
      </c>
      <c r="U12" s="58">
        <f t="shared" si="2"/>
        <v>0</v>
      </c>
      <c r="V12" s="44"/>
      <c r="W12" s="44"/>
      <c r="X12" s="44"/>
      <c r="Y12" s="44"/>
      <c r="Z12" s="44"/>
      <c r="AA12" s="44"/>
      <c r="AB12" s="44"/>
    </row>
    <row r="13" spans="1:30" s="35" customFormat="1">
      <c r="A13" s="44"/>
      <c r="B13" s="44"/>
      <c r="C13" s="44"/>
      <c r="D13" s="44"/>
      <c r="E13" s="44"/>
      <c r="F13" s="44"/>
      <c r="G13" s="44"/>
      <c r="H13" s="44"/>
      <c r="I13" s="44"/>
      <c r="J13" s="44"/>
      <c r="K13" s="44"/>
      <c r="L13" s="44"/>
      <c r="M13" s="44"/>
      <c r="N13" s="52"/>
      <c r="O13" s="52"/>
      <c r="P13" s="53">
        <v>45128</v>
      </c>
      <c r="Q13" s="62">
        <v>2.5</v>
      </c>
      <c r="R13" s="44"/>
      <c r="S13" s="53">
        <f t="shared" si="0"/>
        <v>45128</v>
      </c>
      <c r="T13" s="58">
        <f t="shared" si="1"/>
        <v>2.5</v>
      </c>
      <c r="U13" s="58">
        <f t="shared" si="2"/>
        <v>0</v>
      </c>
      <c r="V13" s="44"/>
      <c r="W13" s="44"/>
      <c r="X13" s="44"/>
      <c r="Y13" s="44"/>
      <c r="Z13" s="44"/>
      <c r="AA13" s="44"/>
      <c r="AB13" s="44"/>
    </row>
    <row r="14" spans="1:30" s="35" customFormat="1">
      <c r="A14" s="44"/>
      <c r="B14" s="44"/>
      <c r="C14" s="44"/>
      <c r="D14" s="44"/>
      <c r="E14" s="44"/>
      <c r="F14" s="44"/>
      <c r="G14" s="44"/>
      <c r="H14" s="44"/>
      <c r="I14" s="44"/>
      <c r="J14" s="44"/>
      <c r="K14" s="44"/>
      <c r="L14" s="44"/>
      <c r="M14" s="44"/>
      <c r="N14" s="52"/>
      <c r="O14" s="52"/>
      <c r="P14" s="53">
        <v>45159</v>
      </c>
      <c r="Q14" s="62">
        <v>2.58</v>
      </c>
      <c r="R14" s="44"/>
      <c r="S14" s="53">
        <f t="shared" si="0"/>
        <v>45159</v>
      </c>
      <c r="T14" s="58">
        <f t="shared" si="1"/>
        <v>2.58</v>
      </c>
      <c r="U14" s="58">
        <f t="shared" si="2"/>
        <v>0</v>
      </c>
      <c r="V14" s="44"/>
      <c r="W14" s="44"/>
      <c r="X14" s="44"/>
      <c r="Y14" s="44"/>
      <c r="Z14" s="44"/>
      <c r="AA14" s="44"/>
      <c r="AB14" s="44"/>
    </row>
    <row r="15" spans="1:30" s="35" customFormat="1">
      <c r="A15" s="44"/>
      <c r="B15" s="44"/>
      <c r="C15" s="44"/>
      <c r="D15" s="44"/>
      <c r="E15" s="44"/>
      <c r="F15" s="44"/>
      <c r="G15" s="44"/>
      <c r="H15" s="44"/>
      <c r="I15" s="44"/>
      <c r="J15" s="44"/>
      <c r="K15" s="44"/>
      <c r="L15" s="44"/>
      <c r="M15" s="44"/>
      <c r="N15" s="52"/>
      <c r="O15" s="52"/>
      <c r="P15" s="53">
        <v>45190</v>
      </c>
      <c r="Q15" s="62">
        <v>2.58</v>
      </c>
      <c r="R15" s="44"/>
      <c r="S15" s="53">
        <f t="shared" si="0"/>
        <v>45190</v>
      </c>
      <c r="T15" s="58">
        <f t="shared" si="1"/>
        <v>2.58</v>
      </c>
      <c r="U15" s="58">
        <f t="shared" si="2"/>
        <v>0</v>
      </c>
      <c r="V15" s="44"/>
      <c r="W15" s="44"/>
      <c r="X15" s="44"/>
      <c r="Y15" s="44"/>
      <c r="Z15" s="44"/>
      <c r="AA15" s="44"/>
      <c r="AB15" s="44"/>
    </row>
    <row r="16" spans="1:30" s="35" customFormat="1">
      <c r="A16" s="44"/>
      <c r="B16" s="44"/>
      <c r="C16" s="44"/>
      <c r="D16" s="44"/>
      <c r="E16" s="44"/>
      <c r="F16" s="44"/>
      <c r="G16" s="44"/>
      <c r="H16" s="44"/>
      <c r="I16" s="44"/>
      <c r="J16" s="44"/>
      <c r="K16" s="44"/>
      <c r="L16" s="44"/>
      <c r="M16" s="44"/>
      <c r="N16" s="52"/>
      <c r="O16" s="52"/>
      <c r="P16" s="53">
        <v>45220</v>
      </c>
      <c r="Q16" s="62">
        <v>2.5</v>
      </c>
      <c r="R16" s="44"/>
      <c r="S16" s="53">
        <f t="shared" si="0"/>
        <v>45220</v>
      </c>
      <c r="T16" s="58">
        <f t="shared" si="1"/>
        <v>2.5</v>
      </c>
      <c r="U16" s="58">
        <f t="shared" si="2"/>
        <v>0</v>
      </c>
      <c r="V16" s="44"/>
      <c r="W16" s="44"/>
      <c r="X16" s="44"/>
      <c r="Y16" s="44"/>
      <c r="Z16" s="44"/>
      <c r="AA16" s="44"/>
      <c r="AB16" s="44"/>
    </row>
    <row r="17" spans="1:30" s="35" customFormat="1">
      <c r="A17" s="44"/>
      <c r="B17" s="44"/>
      <c r="C17" s="44"/>
      <c r="D17" s="44"/>
      <c r="E17" s="44"/>
      <c r="F17" s="44"/>
      <c r="G17" s="44"/>
      <c r="H17" s="44"/>
      <c r="I17" s="44"/>
      <c r="J17" s="44"/>
      <c r="K17" s="44"/>
      <c r="L17" s="44"/>
      <c r="M17" s="44"/>
      <c r="N17" s="52"/>
      <c r="O17" s="52"/>
      <c r="P17" s="53">
        <v>45251</v>
      </c>
      <c r="Q17" s="62">
        <v>2.29</v>
      </c>
      <c r="R17" s="44"/>
      <c r="S17" s="53">
        <f t="shared" si="0"/>
        <v>45251</v>
      </c>
      <c r="T17" s="58">
        <f t="shared" si="1"/>
        <v>2.58</v>
      </c>
      <c r="U17" s="58">
        <f t="shared" si="2"/>
        <v>0.28999999999999998</v>
      </c>
      <c r="V17" s="44"/>
      <c r="W17" s="44"/>
      <c r="X17" s="44"/>
      <c r="Y17" s="44"/>
      <c r="Z17" s="44"/>
      <c r="AA17" s="44"/>
      <c r="AB17" s="44"/>
    </row>
    <row r="18" spans="1:30" s="35" customFormat="1">
      <c r="A18" s="44"/>
      <c r="B18" s="44"/>
      <c r="C18" s="44"/>
      <c r="D18" s="44"/>
      <c r="E18" s="44"/>
      <c r="F18" s="44"/>
      <c r="G18" s="44"/>
      <c r="H18" s="44"/>
      <c r="I18" s="44"/>
      <c r="J18" s="44"/>
      <c r="K18" s="44"/>
      <c r="L18" s="44"/>
      <c r="M18" s="44"/>
      <c r="N18" s="52"/>
      <c r="O18" s="52"/>
      <c r="P18" s="53">
        <v>45281</v>
      </c>
      <c r="Q18" s="62">
        <v>2.1</v>
      </c>
      <c r="R18" s="44"/>
      <c r="S18" s="53">
        <f t="shared" si="0"/>
        <v>45281</v>
      </c>
      <c r="T18" s="58">
        <f t="shared" si="1"/>
        <v>2.5</v>
      </c>
      <c r="U18" s="58">
        <f t="shared" si="2"/>
        <v>0.4</v>
      </c>
      <c r="V18" s="44"/>
      <c r="W18" s="44"/>
      <c r="X18" s="44"/>
      <c r="Y18" s="44"/>
      <c r="Z18" s="44"/>
      <c r="AA18" s="44"/>
      <c r="AB18" s="44"/>
    </row>
    <row r="19" spans="1:30" s="35" customFormat="1">
      <c r="A19" s="44"/>
      <c r="B19" s="44"/>
      <c r="C19" s="44"/>
      <c r="D19" s="44"/>
      <c r="E19" s="44"/>
      <c r="F19" s="44"/>
      <c r="G19" s="44"/>
      <c r="H19" s="44"/>
      <c r="I19" s="44"/>
      <c r="J19" s="44"/>
      <c r="K19" s="44"/>
      <c r="L19" s="44"/>
      <c r="M19" s="44"/>
      <c r="N19" s="52"/>
      <c r="O19" s="52"/>
      <c r="P19" s="53">
        <v>45312</v>
      </c>
      <c r="Q19" s="62">
        <v>2.17</v>
      </c>
      <c r="R19" s="44"/>
      <c r="S19" s="53">
        <f t="shared" si="0"/>
        <v>45312</v>
      </c>
      <c r="T19" s="58">
        <f t="shared" si="1"/>
        <v>2.58</v>
      </c>
      <c r="U19" s="58">
        <f t="shared" si="2"/>
        <v>0.41</v>
      </c>
      <c r="V19" s="44"/>
      <c r="W19" s="44"/>
      <c r="X19" s="44"/>
      <c r="Y19" s="44"/>
      <c r="Z19" s="44"/>
      <c r="AA19" s="44"/>
      <c r="AB19" s="44"/>
    </row>
    <row r="20" spans="1:30" s="35" customFormat="1" hidden="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30" s="34" customFormat="1" ht="140">
      <c r="A26" s="43">
        <v>2</v>
      </c>
      <c r="B26" s="43" t="str">
        <f>B4</f>
        <v>中电九天智能科技有限公司</v>
      </c>
      <c r="C26" s="43" t="str">
        <f t="shared" ref="C26:G26" si="3">C4</f>
        <v>成都市双流区行政审批局局</v>
      </c>
      <c r="D26" s="43" t="str">
        <f t="shared" si="3"/>
        <v>91510122MA61WTENXR</v>
      </c>
      <c r="E26" s="43" t="str">
        <f t="shared" si="3"/>
        <v>有限责任公司（非自然人投资或控股的法人独资）</v>
      </c>
      <c r="F26" s="43" t="str">
        <f t="shared" si="3"/>
        <v>国家税务总局成都市双流区税务局</v>
      </c>
      <c r="G26" s="43" t="str">
        <f t="shared" si="3"/>
        <v>收款账号：4402939109100042983
开户行：中国工商银行成都府河音乐花园支行</v>
      </c>
      <c r="H26" s="43" t="s">
        <v>65</v>
      </c>
      <c r="I26" s="43" t="s">
        <v>1653</v>
      </c>
      <c r="J26" s="43" t="s">
        <v>66</v>
      </c>
      <c r="K26" s="43">
        <v>1000</v>
      </c>
      <c r="L26" s="43" t="s">
        <v>1656</v>
      </c>
      <c r="M26" s="49" t="s">
        <v>1657</v>
      </c>
      <c r="N26" s="50">
        <v>45267</v>
      </c>
      <c r="O26" s="50">
        <v>45291</v>
      </c>
      <c r="P26" s="43">
        <f>P28-N26</f>
        <v>45</v>
      </c>
      <c r="Q26" s="55">
        <f>SUM(Q27:Q47)</f>
        <v>3</v>
      </c>
      <c r="R26" s="43">
        <v>1.03</v>
      </c>
      <c r="S26" s="43"/>
      <c r="T26" s="66">
        <f>SUM(T27:T47)</f>
        <v>3</v>
      </c>
      <c r="U26" s="56">
        <v>2.4E-2</v>
      </c>
      <c r="V26" s="50"/>
      <c r="W26" s="43" t="s">
        <v>1642</v>
      </c>
      <c r="X26" s="57">
        <v>1.4999999999999999E-2</v>
      </c>
      <c r="Y26" s="43">
        <f>ROUNDDOWN(IF((O26-N26+1)*K26*X26/365&gt;R26,R26,(O26-N26+1)*K26*X26/365),2)</f>
        <v>1.02</v>
      </c>
      <c r="Z26" s="55">
        <f>R26-Y26</f>
        <v>0.01</v>
      </c>
      <c r="AA26" s="55" t="s">
        <v>43</v>
      </c>
      <c r="AB26" s="43" t="s">
        <v>1658</v>
      </c>
      <c r="AD26" s="34">
        <f>(O26-N26+1)*K26*X26/365</f>
        <v>1.02739726027397</v>
      </c>
    </row>
    <row r="27" spans="1:30" s="35" customFormat="1">
      <c r="A27" s="44"/>
      <c r="B27" s="44"/>
      <c r="C27" s="44"/>
      <c r="D27" s="44"/>
      <c r="E27" s="44"/>
      <c r="F27" s="44"/>
      <c r="G27" s="44"/>
      <c r="H27" s="44"/>
      <c r="I27" s="44"/>
      <c r="J27" s="44"/>
      <c r="K27" s="44"/>
      <c r="L27" s="44"/>
      <c r="M27" s="44"/>
      <c r="N27" s="52"/>
      <c r="O27" s="50">
        <v>45996</v>
      </c>
      <c r="P27" s="53">
        <v>45281</v>
      </c>
      <c r="Q27" s="62">
        <v>0.93</v>
      </c>
      <c r="R27" s="44"/>
      <c r="S27" s="53">
        <f>P27</f>
        <v>45281</v>
      </c>
      <c r="T27" s="58">
        <f>(S27-N26)/360*$U$26*$K$26</f>
        <v>0.93</v>
      </c>
      <c r="U27" s="58">
        <f t="shared" ref="U27:U32" si="4">T27-Q27</f>
        <v>0</v>
      </c>
      <c r="V27" s="52">
        <v>45287</v>
      </c>
      <c r="W27" s="44">
        <v>50</v>
      </c>
      <c r="X27" s="44"/>
      <c r="Y27" s="62">
        <f>ROUNDDOWN((V27-N26)*K26*X26/365,2)</f>
        <v>0.82</v>
      </c>
      <c r="Z27" s="44"/>
      <c r="AA27" s="44"/>
      <c r="AB27" s="44"/>
    </row>
    <row r="28" spans="1:30" s="35" customFormat="1">
      <c r="A28" s="44"/>
      <c r="B28" s="44"/>
      <c r="C28" s="44"/>
      <c r="D28" s="44"/>
      <c r="E28" s="44"/>
      <c r="F28" s="44"/>
      <c r="G28" s="44"/>
      <c r="H28" s="44"/>
      <c r="I28" s="44"/>
      <c r="J28" s="44"/>
      <c r="K28" s="44"/>
      <c r="L28" s="44"/>
      <c r="M28" s="44"/>
      <c r="N28" s="52"/>
      <c r="O28" s="52"/>
      <c r="P28" s="53">
        <v>45312</v>
      </c>
      <c r="Q28" s="62">
        <v>2.0699999999999998</v>
      </c>
      <c r="R28" s="44"/>
      <c r="S28" s="53">
        <f>P28</f>
        <v>45312</v>
      </c>
      <c r="T28" s="58">
        <f>(S28-S27)*$U$26*$K$26/360</f>
        <v>2.0699999999999998</v>
      </c>
      <c r="U28" s="58">
        <f t="shared" si="4"/>
        <v>0</v>
      </c>
      <c r="V28" s="44"/>
      <c r="W28" s="44"/>
      <c r="X28" s="44"/>
      <c r="Y28" s="62">
        <f>ROUNDDOWN((O26-V27+1)*(K26-W27)*X26/365,2)</f>
        <v>0.19</v>
      </c>
      <c r="Z28" s="44"/>
      <c r="AA28" s="44"/>
      <c r="AB28" s="44"/>
    </row>
    <row r="29" spans="1:30" s="35" customFormat="1" hidden="1">
      <c r="A29" s="44"/>
      <c r="B29" s="44"/>
      <c r="C29" s="44"/>
      <c r="D29" s="44"/>
      <c r="E29" s="44"/>
      <c r="F29" s="44"/>
      <c r="G29" s="44"/>
      <c r="H29" s="44"/>
      <c r="I29" s="44"/>
      <c r="J29" s="44"/>
      <c r="K29" s="44"/>
      <c r="L29" s="44"/>
      <c r="M29" s="44"/>
      <c r="N29" s="52"/>
      <c r="O29" s="52"/>
      <c r="P29" s="53"/>
      <c r="Q29" s="58"/>
      <c r="R29" s="44"/>
      <c r="S29" s="53"/>
      <c r="T29" s="58"/>
      <c r="U29" s="58">
        <f t="shared" si="4"/>
        <v>0</v>
      </c>
      <c r="V29" s="44"/>
      <c r="W29" s="44"/>
      <c r="X29" s="44"/>
      <c r="Y29" s="44"/>
      <c r="Z29" s="44"/>
      <c r="AA29" s="44"/>
      <c r="AB29" s="44"/>
    </row>
    <row r="30" spans="1:30" s="35" customFormat="1" hidden="1">
      <c r="A30" s="44"/>
      <c r="B30" s="44"/>
      <c r="C30" s="44"/>
      <c r="D30" s="44"/>
      <c r="E30" s="44"/>
      <c r="F30" s="44"/>
      <c r="G30" s="44"/>
      <c r="H30" s="44"/>
      <c r="I30" s="44"/>
      <c r="J30" s="44"/>
      <c r="K30" s="44"/>
      <c r="L30" s="44"/>
      <c r="M30" s="44"/>
      <c r="N30" s="52"/>
      <c r="O30" s="52"/>
      <c r="P30" s="53"/>
      <c r="Q30" s="58"/>
      <c r="R30" s="44"/>
      <c r="S30" s="53"/>
      <c r="T30" s="58">
        <f t="shared" ref="T30:T32" si="5">(S30-S29)*$U$26*$K$26/360</f>
        <v>0</v>
      </c>
      <c r="U30" s="58">
        <f t="shared" si="4"/>
        <v>0</v>
      </c>
      <c r="V30" s="44"/>
      <c r="W30" s="44"/>
      <c r="X30" s="44"/>
      <c r="Y30" s="44"/>
      <c r="Z30" s="44"/>
      <c r="AA30" s="44"/>
      <c r="AB30" s="44"/>
    </row>
    <row r="31" spans="1:30" s="35" customFormat="1" hidden="1">
      <c r="A31" s="44"/>
      <c r="B31" s="44"/>
      <c r="C31" s="44"/>
      <c r="D31" s="44"/>
      <c r="E31" s="44"/>
      <c r="F31" s="44"/>
      <c r="G31" s="44"/>
      <c r="H31" s="44"/>
      <c r="I31" s="44"/>
      <c r="J31" s="44"/>
      <c r="K31" s="44"/>
      <c r="L31" s="44"/>
      <c r="M31" s="44"/>
      <c r="N31" s="52"/>
      <c r="O31" s="52"/>
      <c r="P31" s="53"/>
      <c r="Q31" s="58"/>
      <c r="R31" s="44"/>
      <c r="S31" s="53"/>
      <c r="T31" s="58">
        <f t="shared" si="5"/>
        <v>0</v>
      </c>
      <c r="U31" s="58">
        <f t="shared" si="4"/>
        <v>0</v>
      </c>
      <c r="V31" s="44"/>
      <c r="W31" s="44"/>
      <c r="X31" s="44"/>
      <c r="Y31" s="44"/>
      <c r="Z31" s="44"/>
      <c r="AA31" s="44"/>
      <c r="AB31" s="44"/>
    </row>
    <row r="32" spans="1:30" s="35" customFormat="1" hidden="1">
      <c r="A32" s="44"/>
      <c r="B32" s="44"/>
      <c r="C32" s="44"/>
      <c r="D32" s="44"/>
      <c r="E32" s="44"/>
      <c r="F32" s="44"/>
      <c r="G32" s="44"/>
      <c r="H32" s="44"/>
      <c r="I32" s="44"/>
      <c r="J32" s="44"/>
      <c r="K32" s="44"/>
      <c r="L32" s="44"/>
      <c r="M32" s="44"/>
      <c r="N32" s="52"/>
      <c r="O32" s="52"/>
      <c r="P32" s="53"/>
      <c r="Q32" s="58"/>
      <c r="R32" s="44"/>
      <c r="S32" s="53"/>
      <c r="T32" s="58">
        <f t="shared" si="5"/>
        <v>0</v>
      </c>
      <c r="U32" s="58">
        <f t="shared" si="4"/>
        <v>0</v>
      </c>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4" customFormat="1" ht="140" hidden="1">
      <c r="A48" s="43">
        <v>3</v>
      </c>
      <c r="B48" s="43" t="str">
        <f>B26</f>
        <v>中电九天智能科技有限公司</v>
      </c>
      <c r="C48" s="43" t="str">
        <f t="shared" ref="C48:G48" si="6">C26</f>
        <v>成都市双流区行政审批局局</v>
      </c>
      <c r="D48" s="43" t="str">
        <f t="shared" si="6"/>
        <v>91510122MA61WTENXR</v>
      </c>
      <c r="E48" s="43" t="str">
        <f t="shared" si="6"/>
        <v>有限责任公司（非自然人投资或控股的法人独资）</v>
      </c>
      <c r="F48" s="43" t="str">
        <f t="shared" si="6"/>
        <v>国家税务总局成都市双流区税务局</v>
      </c>
      <c r="G48" s="43" t="str">
        <f t="shared" si="6"/>
        <v>收款账号：4402939109100042983
开户行：中国工商银行成都府河音乐花园支行</v>
      </c>
      <c r="H48" s="43" t="s">
        <v>65</v>
      </c>
      <c r="I48" s="43" t="s">
        <v>57</v>
      </c>
      <c r="J48" s="43" t="s">
        <v>66</v>
      </c>
      <c r="K48" s="43"/>
      <c r="L48" s="43"/>
      <c r="M48" s="43"/>
      <c r="N48" s="50"/>
      <c r="O48" s="50"/>
      <c r="P48" s="43"/>
      <c r="Q48" s="55">
        <f>SUM(Q49:Q69)</f>
        <v>0</v>
      </c>
      <c r="R48" s="43"/>
      <c r="S48" s="43"/>
      <c r="T48" s="43">
        <f>SUM(T49:T69)</f>
        <v>0</v>
      </c>
      <c r="U48" s="56"/>
      <c r="V48" s="50"/>
      <c r="W48" s="43"/>
      <c r="X48" s="57"/>
      <c r="Y48" s="43">
        <f>ROUNDUP(IF((O48-N48+1)*K48*X48/365&gt;R48,R48,(O48-N48+1)*K48*X48/365),2)</f>
        <v>0</v>
      </c>
      <c r="Z48" s="63"/>
      <c r="AA48" s="63"/>
      <c r="AB48" s="43" t="str">
        <f>AB26</f>
        <v>平台显示，未匹配到有效结果</v>
      </c>
    </row>
    <row r="49" spans="1:28" s="35" customFormat="1" hidden="1">
      <c r="A49" s="44"/>
      <c r="B49" s="44"/>
      <c r="C49" s="44"/>
      <c r="D49" s="44"/>
      <c r="E49" s="44"/>
      <c r="F49" s="44"/>
      <c r="G49" s="44"/>
      <c r="H49" s="44"/>
      <c r="I49" s="44"/>
      <c r="J49" s="44"/>
      <c r="K49" s="44"/>
      <c r="L49" s="44"/>
      <c r="M49" s="44"/>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44"/>
      <c r="N50" s="52"/>
      <c r="O50" s="52"/>
      <c r="P50" s="53"/>
      <c r="Q50" s="58"/>
      <c r="R50" s="44"/>
      <c r="S50" s="53">
        <f t="shared" ref="S50" si="7">P50</f>
        <v>0</v>
      </c>
      <c r="T50" s="58">
        <f>(S50-S49)*$U$48*$K$48/360</f>
        <v>0</v>
      </c>
      <c r="U50" s="58">
        <f t="shared" ref="U50" si="8">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4" customFormat="1" ht="140" hidden="1">
      <c r="A70" s="43">
        <v>4</v>
      </c>
      <c r="B70" s="43" t="str">
        <f>B48</f>
        <v>中电九天智能科技有限公司</v>
      </c>
      <c r="C70" s="43" t="str">
        <f t="shared" ref="C70:G70" si="9">C48</f>
        <v>成都市双流区行政审批局局</v>
      </c>
      <c r="D70" s="43" t="str">
        <f t="shared" si="9"/>
        <v>91510122MA61WTENXR</v>
      </c>
      <c r="E70" s="43" t="str">
        <f t="shared" si="9"/>
        <v>有限责任公司（非自然人投资或控股的法人独资）</v>
      </c>
      <c r="F70" s="43" t="str">
        <f t="shared" si="9"/>
        <v>国家税务总局成都市双流区税务局</v>
      </c>
      <c r="G70" s="43" t="str">
        <f t="shared" si="9"/>
        <v>收款账号：4402939109100042983
开户行：中国工商银行成都府河音乐花园支行</v>
      </c>
      <c r="H70" s="43"/>
      <c r="I70" s="43"/>
      <c r="J70" s="43"/>
      <c r="K70" s="43"/>
      <c r="L70" s="43"/>
      <c r="M70" s="43"/>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44"/>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4" customFormat="1" ht="140" hidden="1">
      <c r="A92" s="43">
        <v>5</v>
      </c>
      <c r="B92" s="43" t="str">
        <f>B70</f>
        <v>中电九天智能科技有限公司</v>
      </c>
      <c r="C92" s="43" t="str">
        <f t="shared" ref="C92:G92" si="10">C70</f>
        <v>成都市双流区行政审批局局</v>
      </c>
      <c r="D92" s="43" t="str">
        <f t="shared" si="10"/>
        <v>91510122MA61WTENXR</v>
      </c>
      <c r="E92" s="43" t="str">
        <f t="shared" si="10"/>
        <v>有限责任公司（非自然人投资或控股的法人独资）</v>
      </c>
      <c r="F92" s="43" t="str">
        <f t="shared" si="10"/>
        <v>国家税务总局成都市双流区税务局</v>
      </c>
      <c r="G92" s="43" t="str">
        <f t="shared" si="10"/>
        <v>收款账号：4402939109100042983
开户行：中国工商银行成都府河音乐花园支行</v>
      </c>
      <c r="H92" s="43"/>
      <c r="I92" s="43"/>
      <c r="J92" s="43"/>
      <c r="K92" s="43"/>
      <c r="L92" s="43"/>
      <c r="M92" s="43"/>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44"/>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2000</v>
      </c>
      <c r="L114" s="43"/>
      <c r="M114" s="43"/>
      <c r="N114" s="50"/>
      <c r="O114" s="50"/>
      <c r="P114" s="43"/>
      <c r="Q114" s="43"/>
      <c r="R114" s="43">
        <f>R92+R70+R48+R26++R4</f>
        <v>18.16</v>
      </c>
      <c r="S114" s="43"/>
      <c r="T114" s="43"/>
      <c r="U114" s="43"/>
      <c r="V114" s="43"/>
      <c r="W114" s="43"/>
      <c r="X114" s="43"/>
      <c r="Y114" s="43">
        <f>Y92+Y70+Y48+Y26++Y4</f>
        <v>18.149999999999999</v>
      </c>
      <c r="Z114" s="43"/>
      <c r="AA114" s="43"/>
      <c r="AB114" s="43"/>
    </row>
    <row r="115" spans="1:28">
      <c r="I115" s="36" t="s">
        <v>49</v>
      </c>
      <c r="K115" s="36">
        <f>IF(K114&gt;3000,K116,K114)</f>
        <v>2000</v>
      </c>
    </row>
    <row r="116" spans="1:28">
      <c r="K116" s="36" t="s">
        <v>50</v>
      </c>
    </row>
  </sheetData>
  <autoFilter ref="F2:AB116" xr:uid="{00000000-0009-0000-0000-0000C9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AD116"/>
  <sheetViews>
    <sheetView topLeftCell="F1" zoomScale="69" zoomScaleNormal="69" workbookViewId="0">
      <pane ySplit="3" topLeftCell="A4" activePane="bottomLeft" state="frozen"/>
      <selection pane="bottomLeft" activeCell="B4" sqref="B4:AB4"/>
    </sheetView>
  </sheetViews>
  <sheetFormatPr defaultColWidth="9" defaultRowHeight="14"/>
  <cols>
    <col min="1" max="6" width="9" style="36"/>
    <col min="7" max="7" width="8.58203125" style="36" customWidth="1"/>
    <col min="8" max="12" width="9" style="36"/>
    <col min="13" max="13" width="9" style="37"/>
    <col min="14" max="15" width="10.75" style="38" customWidth="1"/>
    <col min="16" max="16" width="9.83203125" style="36" customWidth="1"/>
    <col min="17" max="18" width="9" style="36"/>
    <col min="19" max="19" width="9.83203125" style="36" customWidth="1"/>
    <col min="20" max="21" width="9" style="36"/>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成都海科工控设备有限公司审计明细表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6" t="s">
        <v>16</v>
      </c>
      <c r="N3" s="47" t="s">
        <v>17</v>
      </c>
      <c r="O3" s="47" t="s">
        <v>18</v>
      </c>
      <c r="P3" s="48" t="s">
        <v>19</v>
      </c>
      <c r="Q3" s="48" t="s">
        <v>20</v>
      </c>
      <c r="R3" s="41" t="s">
        <v>21</v>
      </c>
      <c r="S3" s="41" t="s">
        <v>22</v>
      </c>
      <c r="T3" s="54" t="s">
        <v>23</v>
      </c>
      <c r="U3" s="41" t="s">
        <v>24</v>
      </c>
      <c r="V3" s="41" t="s">
        <v>25</v>
      </c>
      <c r="W3" s="41" t="s">
        <v>26</v>
      </c>
      <c r="X3" s="41" t="s">
        <v>27</v>
      </c>
      <c r="Y3" s="41" t="s">
        <v>784</v>
      </c>
      <c r="Z3" s="41" t="s">
        <v>29</v>
      </c>
      <c r="AA3" s="41" t="s">
        <v>30</v>
      </c>
      <c r="AB3" s="167"/>
      <c r="AC3" s="60"/>
    </row>
    <row r="4" spans="1:30" s="34" customFormat="1" ht="70">
      <c r="A4" s="43">
        <v>1</v>
      </c>
      <c r="B4" s="43" t="s">
        <v>614</v>
      </c>
      <c r="C4" s="43" t="s">
        <v>785</v>
      </c>
      <c r="D4" s="43" t="s">
        <v>1659</v>
      </c>
      <c r="E4" s="43" t="s">
        <v>121</v>
      </c>
      <c r="F4" s="43" t="s">
        <v>787</v>
      </c>
      <c r="G4" s="43" t="s">
        <v>1660</v>
      </c>
      <c r="H4" s="43" t="s">
        <v>37</v>
      </c>
      <c r="I4" s="43" t="s">
        <v>1661</v>
      </c>
      <c r="J4" s="43" t="s">
        <v>1662</v>
      </c>
      <c r="K4" s="43">
        <v>100</v>
      </c>
      <c r="L4" s="43" t="s">
        <v>1663</v>
      </c>
      <c r="M4" s="49" t="s">
        <v>1664</v>
      </c>
      <c r="N4" s="50">
        <v>44867</v>
      </c>
      <c r="O4" s="50">
        <v>45029</v>
      </c>
      <c r="P4" s="43">
        <f>P10-N4</f>
        <v>162</v>
      </c>
      <c r="Q4" s="55">
        <f>SUM(Q5:Q25)</f>
        <v>1.91</v>
      </c>
      <c r="R4" s="55">
        <v>0.45</v>
      </c>
      <c r="S4" s="43"/>
      <c r="T4" s="55">
        <f>SUM(T5:T25)</f>
        <v>1.91</v>
      </c>
      <c r="U4" s="56">
        <v>4.2500000000000003E-2</v>
      </c>
      <c r="V4" s="50"/>
      <c r="W4" s="43" t="s">
        <v>1665</v>
      </c>
      <c r="X4" s="57">
        <f>IFERROR(INDEX([3]支持标准!$F$3:$F$5,MATCH('153'!H4,[3]支持标准!$B$3:$B$5)),0)</f>
        <v>0.01</v>
      </c>
      <c r="Y4" s="43">
        <f>ROUNDDOWN(IF((O4-N4+1)*K4*X4/365&gt;R4,R4,(O4-N4+1)*K4*X4/365),2)</f>
        <v>0.44</v>
      </c>
      <c r="Z4" s="55">
        <f>R4-Y4</f>
        <v>0.01</v>
      </c>
      <c r="AA4" s="55" t="s">
        <v>1263</v>
      </c>
      <c r="AB4" s="71" t="s">
        <v>61</v>
      </c>
      <c r="AD4" s="61">
        <f>(O4-N4+1)*K4*X4/365</f>
        <v>0.4466</v>
      </c>
    </row>
    <row r="5" spans="1:30" s="35" customFormat="1">
      <c r="A5" s="44"/>
      <c r="B5" s="44"/>
      <c r="C5" s="44"/>
      <c r="D5" s="44"/>
      <c r="E5" s="44"/>
      <c r="F5" s="44"/>
      <c r="G5" s="44"/>
      <c r="H5" s="44"/>
      <c r="I5" s="44"/>
      <c r="J5" s="44"/>
      <c r="K5" s="44"/>
      <c r="L5" s="44"/>
      <c r="M5" s="51"/>
      <c r="N5" s="52"/>
      <c r="O5" s="52">
        <v>45047</v>
      </c>
      <c r="P5" s="53">
        <v>44886</v>
      </c>
      <c r="Q5" s="58">
        <v>0.22</v>
      </c>
      <c r="R5" s="44"/>
      <c r="S5" s="53">
        <f>P5</f>
        <v>44886</v>
      </c>
      <c r="T5" s="58">
        <f>(S5-N4)/360*$U$4*$K$4</f>
        <v>0.22</v>
      </c>
      <c r="U5" s="58">
        <f>T5-Q5</f>
        <v>0</v>
      </c>
      <c r="V5" s="52"/>
      <c r="W5" s="44"/>
      <c r="X5" s="44"/>
      <c r="Y5" s="44"/>
      <c r="Z5" s="44"/>
      <c r="AA5" s="44"/>
      <c r="AB5" s="42"/>
    </row>
    <row r="6" spans="1:30" s="35" customFormat="1">
      <c r="A6" s="44"/>
      <c r="B6" s="44"/>
      <c r="C6" s="44"/>
      <c r="D6" s="44"/>
      <c r="E6" s="44"/>
      <c r="F6" s="44"/>
      <c r="G6" s="44"/>
      <c r="H6" s="44"/>
      <c r="I6" s="44"/>
      <c r="J6" s="44"/>
      <c r="K6" s="44"/>
      <c r="L6" s="44"/>
      <c r="M6" s="51"/>
      <c r="N6" s="52"/>
      <c r="O6" s="52"/>
      <c r="P6" s="53">
        <v>44916</v>
      </c>
      <c r="Q6" s="58">
        <v>0.35</v>
      </c>
      <c r="R6" s="44"/>
      <c r="S6" s="53">
        <f t="shared" ref="S6:S10" si="0">P6</f>
        <v>44916</v>
      </c>
      <c r="T6" s="58">
        <f>(S6-S5)*$K$4*$U$4/360</f>
        <v>0.35</v>
      </c>
      <c r="U6" s="58">
        <f>T6-Q6</f>
        <v>0</v>
      </c>
      <c r="V6" s="44"/>
      <c r="W6" s="44"/>
      <c r="X6" s="44"/>
      <c r="Y6" s="44"/>
      <c r="Z6" s="44"/>
      <c r="AA6" s="44"/>
      <c r="AB6" s="42"/>
    </row>
    <row r="7" spans="1:30" s="35" customFormat="1">
      <c r="A7" s="44"/>
      <c r="B7" s="44"/>
      <c r="C7" s="44"/>
      <c r="D7" s="44"/>
      <c r="E7" s="44"/>
      <c r="F7" s="44"/>
      <c r="G7" s="44"/>
      <c r="H7" s="44"/>
      <c r="I7" s="44"/>
      <c r="J7" s="44"/>
      <c r="K7" s="44"/>
      <c r="L7" s="44"/>
      <c r="M7" s="51"/>
      <c r="N7" s="52"/>
      <c r="O7" s="52"/>
      <c r="P7" s="53">
        <v>44947</v>
      </c>
      <c r="Q7" s="58">
        <v>0.37</v>
      </c>
      <c r="R7" s="44"/>
      <c r="S7" s="53">
        <f t="shared" si="0"/>
        <v>44947</v>
      </c>
      <c r="T7" s="58">
        <f t="shared" ref="T7:T10" si="1">(S7-S6)*$K$4*$U$4/360</f>
        <v>0.37</v>
      </c>
      <c r="U7" s="58">
        <f t="shared" ref="U7:U25" si="2">T7-Q7</f>
        <v>0</v>
      </c>
      <c r="V7" s="44"/>
      <c r="W7" s="44"/>
      <c r="X7" s="44"/>
      <c r="Y7" s="44"/>
      <c r="Z7" s="44"/>
      <c r="AA7" s="44"/>
      <c r="AB7" s="42"/>
    </row>
    <row r="8" spans="1:30" s="35" customFormat="1">
      <c r="A8" s="44"/>
      <c r="B8" s="44"/>
      <c r="C8" s="44"/>
      <c r="D8" s="44"/>
      <c r="E8" s="44"/>
      <c r="F8" s="44"/>
      <c r="G8" s="44"/>
      <c r="H8" s="44"/>
      <c r="I8" s="44"/>
      <c r="J8" s="44"/>
      <c r="K8" s="44"/>
      <c r="L8" s="44"/>
      <c r="M8" s="51"/>
      <c r="N8" s="52"/>
      <c r="O8" s="52"/>
      <c r="P8" s="53">
        <v>44978</v>
      </c>
      <c r="Q8" s="58">
        <v>0.37</v>
      </c>
      <c r="R8" s="44"/>
      <c r="S8" s="53">
        <f t="shared" si="0"/>
        <v>44978</v>
      </c>
      <c r="T8" s="58">
        <f t="shared" si="1"/>
        <v>0.37</v>
      </c>
      <c r="U8" s="58">
        <f t="shared" si="2"/>
        <v>0</v>
      </c>
      <c r="V8" s="44"/>
      <c r="W8" s="44"/>
      <c r="X8" s="44"/>
      <c r="Y8" s="44"/>
      <c r="Z8" s="44"/>
      <c r="AA8" s="44"/>
      <c r="AB8" s="42"/>
    </row>
    <row r="9" spans="1:30" s="35" customFormat="1">
      <c r="A9" s="44"/>
      <c r="B9" s="44"/>
      <c r="C9" s="44"/>
      <c r="D9" s="44"/>
      <c r="E9" s="44"/>
      <c r="F9" s="44"/>
      <c r="G9" s="44"/>
      <c r="H9" s="44"/>
      <c r="I9" s="44"/>
      <c r="J9" s="44"/>
      <c r="K9" s="44"/>
      <c r="L9" s="44"/>
      <c r="M9" s="51"/>
      <c r="N9" s="52"/>
      <c r="O9" s="52"/>
      <c r="P9" s="53">
        <v>45006</v>
      </c>
      <c r="Q9" s="58">
        <v>0.33</v>
      </c>
      <c r="R9" s="44"/>
      <c r="S9" s="53">
        <f t="shared" si="0"/>
        <v>45006</v>
      </c>
      <c r="T9" s="58">
        <f t="shared" si="1"/>
        <v>0.33</v>
      </c>
      <c r="U9" s="58">
        <f t="shared" si="2"/>
        <v>0</v>
      </c>
      <c r="V9" s="44"/>
      <c r="W9" s="44"/>
      <c r="X9" s="44"/>
      <c r="Y9" s="44"/>
      <c r="Z9" s="44"/>
      <c r="AA9" s="44"/>
      <c r="AB9" s="42"/>
    </row>
    <row r="10" spans="1:30" s="35" customFormat="1">
      <c r="A10" s="44"/>
      <c r="B10" s="44"/>
      <c r="C10" s="44"/>
      <c r="D10" s="44"/>
      <c r="E10" s="44"/>
      <c r="F10" s="44"/>
      <c r="G10" s="44"/>
      <c r="H10" s="44"/>
      <c r="I10" s="44"/>
      <c r="J10" s="44"/>
      <c r="K10" s="44"/>
      <c r="L10" s="44"/>
      <c r="M10" s="51"/>
      <c r="N10" s="52"/>
      <c r="O10" s="52"/>
      <c r="P10" s="53">
        <v>45029</v>
      </c>
      <c r="Q10" s="58">
        <v>0.27</v>
      </c>
      <c r="R10" s="44"/>
      <c r="S10" s="53">
        <f t="shared" si="0"/>
        <v>45029</v>
      </c>
      <c r="T10" s="58">
        <f t="shared" si="1"/>
        <v>0.27</v>
      </c>
      <c r="U10" s="58">
        <f t="shared" si="2"/>
        <v>0</v>
      </c>
      <c r="V10" s="44"/>
      <c r="W10" s="44"/>
      <c r="X10" s="44"/>
      <c r="Y10" s="44"/>
      <c r="Z10" s="44"/>
      <c r="AA10" s="44"/>
      <c r="AB10" s="42"/>
    </row>
    <row r="11" spans="1:30" s="35" customFormat="1" hidden="1">
      <c r="A11" s="44"/>
      <c r="B11" s="44"/>
      <c r="C11" s="44"/>
      <c r="D11" s="44"/>
      <c r="E11" s="44"/>
      <c r="F11" s="44"/>
      <c r="G11" s="44"/>
      <c r="H11" s="44"/>
      <c r="I11" s="44"/>
      <c r="J11" s="44"/>
      <c r="K11" s="44"/>
      <c r="L11" s="44"/>
      <c r="M11" s="51"/>
      <c r="N11" s="52"/>
      <c r="O11" s="52"/>
      <c r="P11" s="53"/>
      <c r="Q11" s="58"/>
      <c r="R11" s="44"/>
      <c r="S11" s="53"/>
      <c r="T11" s="58"/>
      <c r="U11" s="58">
        <f t="shared" si="2"/>
        <v>0</v>
      </c>
      <c r="V11" s="44"/>
      <c r="W11" s="44"/>
      <c r="X11" s="44"/>
      <c r="Y11" s="44"/>
      <c r="Z11" s="44"/>
      <c r="AA11" s="44"/>
      <c r="AB11" s="42"/>
    </row>
    <row r="12" spans="1:30" s="35" customFormat="1" hidden="1">
      <c r="A12" s="44"/>
      <c r="B12" s="44"/>
      <c r="C12" s="44"/>
      <c r="D12" s="44"/>
      <c r="E12" s="44"/>
      <c r="F12" s="44"/>
      <c r="G12" s="44"/>
      <c r="H12" s="44"/>
      <c r="I12" s="44"/>
      <c r="J12" s="44"/>
      <c r="K12" s="44"/>
      <c r="L12" s="44"/>
      <c r="M12" s="51"/>
      <c r="N12" s="52"/>
      <c r="O12" s="52"/>
      <c r="P12" s="53"/>
      <c r="Q12" s="58"/>
      <c r="R12" s="44"/>
      <c r="S12" s="53"/>
      <c r="T12" s="58"/>
      <c r="U12" s="58">
        <f t="shared" si="2"/>
        <v>0</v>
      </c>
      <c r="V12" s="44"/>
      <c r="W12" s="44"/>
      <c r="X12" s="44"/>
      <c r="Y12" s="44"/>
      <c r="Z12" s="44"/>
      <c r="AA12" s="44"/>
      <c r="AB12" s="42"/>
    </row>
    <row r="13" spans="1:30" s="35" customFormat="1" hidden="1">
      <c r="A13" s="44"/>
      <c r="B13" s="44"/>
      <c r="C13" s="44"/>
      <c r="D13" s="44"/>
      <c r="E13" s="44"/>
      <c r="F13" s="44"/>
      <c r="G13" s="44"/>
      <c r="H13" s="44"/>
      <c r="I13" s="44"/>
      <c r="J13" s="44"/>
      <c r="K13" s="44"/>
      <c r="L13" s="44"/>
      <c r="M13" s="51"/>
      <c r="N13" s="52"/>
      <c r="O13" s="52"/>
      <c r="P13" s="53"/>
      <c r="Q13" s="58"/>
      <c r="R13" s="44"/>
      <c r="S13" s="53"/>
      <c r="T13" s="58"/>
      <c r="U13" s="58">
        <f t="shared" si="2"/>
        <v>0</v>
      </c>
      <c r="V13" s="44"/>
      <c r="W13" s="44"/>
      <c r="X13" s="44"/>
      <c r="Y13" s="44"/>
      <c r="Z13" s="44"/>
      <c r="AA13" s="44"/>
      <c r="AB13" s="42"/>
    </row>
    <row r="14" spans="1:30" s="35" customFormat="1" hidden="1">
      <c r="A14" s="44"/>
      <c r="B14" s="44"/>
      <c r="C14" s="44"/>
      <c r="D14" s="44"/>
      <c r="E14" s="44"/>
      <c r="F14" s="44"/>
      <c r="G14" s="44"/>
      <c r="H14" s="44"/>
      <c r="I14" s="44"/>
      <c r="J14" s="44"/>
      <c r="K14" s="44"/>
      <c r="L14" s="44"/>
      <c r="M14" s="51"/>
      <c r="N14" s="52"/>
      <c r="O14" s="52"/>
      <c r="P14" s="53"/>
      <c r="Q14" s="58"/>
      <c r="R14" s="44"/>
      <c r="S14" s="53"/>
      <c r="T14" s="58"/>
      <c r="U14" s="58">
        <f t="shared" si="2"/>
        <v>0</v>
      </c>
      <c r="V14" s="44"/>
      <c r="W14" s="44"/>
      <c r="X14" s="44"/>
      <c r="Y14" s="44"/>
      <c r="Z14" s="44"/>
      <c r="AA14" s="44"/>
      <c r="AB14" s="42"/>
    </row>
    <row r="15" spans="1:30" s="35" customFormat="1" hidden="1">
      <c r="A15" s="44"/>
      <c r="B15" s="44"/>
      <c r="C15" s="44"/>
      <c r="D15" s="44"/>
      <c r="E15" s="44"/>
      <c r="F15" s="44"/>
      <c r="G15" s="44"/>
      <c r="H15" s="44"/>
      <c r="I15" s="44"/>
      <c r="J15" s="44"/>
      <c r="K15" s="44"/>
      <c r="L15" s="44"/>
      <c r="M15" s="51"/>
      <c r="N15" s="52"/>
      <c r="O15" s="52"/>
      <c r="P15" s="53"/>
      <c r="Q15" s="58"/>
      <c r="R15" s="44"/>
      <c r="S15" s="53"/>
      <c r="T15" s="58"/>
      <c r="U15" s="58">
        <f t="shared" si="2"/>
        <v>0</v>
      </c>
      <c r="V15" s="44"/>
      <c r="W15" s="44"/>
      <c r="X15" s="44"/>
      <c r="Y15" s="44"/>
      <c r="Z15" s="44"/>
      <c r="AA15" s="44"/>
      <c r="AB15" s="42"/>
    </row>
    <row r="16" spans="1:30" s="35" customFormat="1" hidden="1">
      <c r="A16" s="44"/>
      <c r="B16" s="44"/>
      <c r="C16" s="44"/>
      <c r="D16" s="44"/>
      <c r="E16" s="44"/>
      <c r="F16" s="44"/>
      <c r="G16" s="44"/>
      <c r="H16" s="44"/>
      <c r="I16" s="44"/>
      <c r="J16" s="44"/>
      <c r="K16" s="44"/>
      <c r="L16" s="44"/>
      <c r="M16" s="51"/>
      <c r="N16" s="52"/>
      <c r="O16" s="52"/>
      <c r="P16" s="53"/>
      <c r="Q16" s="58"/>
      <c r="R16" s="44"/>
      <c r="S16" s="53"/>
      <c r="T16" s="58"/>
      <c r="U16" s="58">
        <f t="shared" si="2"/>
        <v>0</v>
      </c>
      <c r="V16" s="44"/>
      <c r="W16" s="44"/>
      <c r="X16" s="44"/>
      <c r="Y16" s="44"/>
      <c r="Z16" s="44"/>
      <c r="AA16" s="44"/>
      <c r="AB16" s="42"/>
    </row>
    <row r="17" spans="1:30" s="35" customFormat="1" hidden="1">
      <c r="A17" s="44"/>
      <c r="B17" s="44"/>
      <c r="C17" s="44"/>
      <c r="D17" s="44"/>
      <c r="E17" s="44"/>
      <c r="F17" s="44"/>
      <c r="G17" s="44"/>
      <c r="H17" s="44"/>
      <c r="I17" s="44"/>
      <c r="J17" s="44"/>
      <c r="K17" s="44"/>
      <c r="L17" s="44"/>
      <c r="M17" s="51"/>
      <c r="N17" s="52"/>
      <c r="O17" s="52"/>
      <c r="P17" s="53"/>
      <c r="Q17" s="58"/>
      <c r="R17" s="44"/>
      <c r="S17" s="53"/>
      <c r="T17" s="58"/>
      <c r="U17" s="58">
        <f t="shared" si="2"/>
        <v>0</v>
      </c>
      <c r="V17" s="44"/>
      <c r="W17" s="44"/>
      <c r="X17" s="44"/>
      <c r="Y17" s="44"/>
      <c r="Z17" s="44"/>
      <c r="AA17" s="44"/>
      <c r="AB17" s="42"/>
    </row>
    <row r="18" spans="1:30" s="35" customFormat="1" hidden="1">
      <c r="A18" s="44"/>
      <c r="B18" s="44"/>
      <c r="C18" s="44"/>
      <c r="D18" s="44"/>
      <c r="E18" s="44"/>
      <c r="F18" s="44"/>
      <c r="G18" s="44"/>
      <c r="H18" s="44"/>
      <c r="I18" s="44"/>
      <c r="J18" s="44"/>
      <c r="K18" s="44"/>
      <c r="L18" s="44"/>
      <c r="M18" s="51"/>
      <c r="N18" s="52"/>
      <c r="O18" s="52"/>
      <c r="P18" s="53"/>
      <c r="Q18" s="58"/>
      <c r="R18" s="44"/>
      <c r="S18" s="53"/>
      <c r="T18" s="58"/>
      <c r="U18" s="58">
        <f t="shared" si="2"/>
        <v>0</v>
      </c>
      <c r="V18" s="44"/>
      <c r="W18" s="44"/>
      <c r="X18" s="44"/>
      <c r="Y18" s="44"/>
      <c r="Z18" s="44"/>
      <c r="AA18" s="44"/>
      <c r="AB18" s="42"/>
    </row>
    <row r="19" spans="1:30" s="35" customFormat="1" hidden="1">
      <c r="A19" s="44"/>
      <c r="B19" s="44"/>
      <c r="C19" s="44"/>
      <c r="D19" s="44"/>
      <c r="E19" s="44"/>
      <c r="F19" s="44"/>
      <c r="G19" s="44"/>
      <c r="H19" s="44"/>
      <c r="I19" s="44"/>
      <c r="J19" s="44"/>
      <c r="K19" s="44"/>
      <c r="L19" s="44"/>
      <c r="M19" s="51"/>
      <c r="N19" s="52"/>
      <c r="O19" s="52"/>
      <c r="P19" s="53"/>
      <c r="Q19" s="58"/>
      <c r="R19" s="44"/>
      <c r="S19" s="53"/>
      <c r="T19" s="58"/>
      <c r="U19" s="58">
        <f t="shared" si="2"/>
        <v>0</v>
      </c>
      <c r="V19" s="44"/>
      <c r="W19" s="44"/>
      <c r="X19" s="44"/>
      <c r="Y19" s="44"/>
      <c r="Z19" s="44"/>
      <c r="AA19" s="44"/>
      <c r="AB19" s="42"/>
    </row>
    <row r="20" spans="1:30" s="35" customFormat="1" hidden="1">
      <c r="A20" s="44"/>
      <c r="B20" s="44"/>
      <c r="C20" s="44"/>
      <c r="D20" s="44"/>
      <c r="E20" s="44"/>
      <c r="F20" s="44"/>
      <c r="G20" s="44"/>
      <c r="H20" s="44"/>
      <c r="I20" s="44"/>
      <c r="J20" s="44"/>
      <c r="K20" s="44"/>
      <c r="L20" s="44"/>
      <c r="M20" s="51"/>
      <c r="N20" s="52"/>
      <c r="O20" s="52"/>
      <c r="P20" s="53"/>
      <c r="Q20" s="58"/>
      <c r="R20" s="44"/>
      <c r="S20" s="53"/>
      <c r="T20" s="58"/>
      <c r="U20" s="58">
        <f t="shared" si="2"/>
        <v>0</v>
      </c>
      <c r="V20" s="44"/>
      <c r="W20" s="44"/>
      <c r="X20" s="44"/>
      <c r="Y20" s="44"/>
      <c r="Z20" s="44"/>
      <c r="AA20" s="44"/>
      <c r="AB20" s="42"/>
    </row>
    <row r="21" spans="1:30" s="35" customFormat="1" hidden="1">
      <c r="A21" s="44"/>
      <c r="B21" s="44"/>
      <c r="C21" s="44"/>
      <c r="D21" s="44"/>
      <c r="E21" s="44"/>
      <c r="F21" s="44"/>
      <c r="G21" s="44"/>
      <c r="H21" s="44"/>
      <c r="I21" s="44"/>
      <c r="J21" s="44"/>
      <c r="K21" s="44"/>
      <c r="L21" s="44"/>
      <c r="M21" s="51"/>
      <c r="N21" s="52"/>
      <c r="O21" s="52"/>
      <c r="P21" s="53"/>
      <c r="Q21" s="58"/>
      <c r="R21" s="44"/>
      <c r="S21" s="53"/>
      <c r="T21" s="58"/>
      <c r="U21" s="58">
        <f t="shared" si="2"/>
        <v>0</v>
      </c>
      <c r="V21" s="44"/>
      <c r="W21" s="44"/>
      <c r="X21" s="44"/>
      <c r="Y21" s="44"/>
      <c r="Z21" s="44"/>
      <c r="AA21" s="44"/>
      <c r="AB21" s="42"/>
    </row>
    <row r="22" spans="1:30" s="35" customFormat="1" hidden="1">
      <c r="A22" s="44"/>
      <c r="B22" s="44"/>
      <c r="C22" s="44"/>
      <c r="D22" s="44"/>
      <c r="E22" s="44"/>
      <c r="F22" s="44"/>
      <c r="G22" s="44"/>
      <c r="H22" s="44"/>
      <c r="I22" s="44"/>
      <c r="J22" s="44"/>
      <c r="K22" s="44"/>
      <c r="L22" s="44"/>
      <c r="M22" s="51"/>
      <c r="N22" s="52"/>
      <c r="O22" s="52"/>
      <c r="P22" s="53"/>
      <c r="Q22" s="58"/>
      <c r="R22" s="44"/>
      <c r="S22" s="53"/>
      <c r="T22" s="58"/>
      <c r="U22" s="58">
        <f t="shared" si="2"/>
        <v>0</v>
      </c>
      <c r="V22" s="44"/>
      <c r="W22" s="44"/>
      <c r="X22" s="44"/>
      <c r="Y22" s="44"/>
      <c r="Z22" s="44"/>
      <c r="AA22" s="44"/>
      <c r="AB22" s="42"/>
    </row>
    <row r="23" spans="1:30" s="35" customFormat="1" hidden="1">
      <c r="A23" s="44"/>
      <c r="B23" s="44"/>
      <c r="C23" s="44"/>
      <c r="D23" s="44"/>
      <c r="E23" s="44"/>
      <c r="F23" s="44"/>
      <c r="G23" s="44"/>
      <c r="H23" s="44"/>
      <c r="I23" s="44"/>
      <c r="J23" s="44"/>
      <c r="K23" s="44"/>
      <c r="L23" s="44"/>
      <c r="M23" s="51"/>
      <c r="N23" s="52"/>
      <c r="O23" s="52"/>
      <c r="P23" s="53"/>
      <c r="Q23" s="58"/>
      <c r="R23" s="44"/>
      <c r="S23" s="53"/>
      <c r="T23" s="58"/>
      <c r="U23" s="58">
        <f t="shared" si="2"/>
        <v>0</v>
      </c>
      <c r="V23" s="44"/>
      <c r="W23" s="44"/>
      <c r="X23" s="44"/>
      <c r="Y23" s="44"/>
      <c r="Z23" s="44"/>
      <c r="AA23" s="44"/>
      <c r="AB23" s="42"/>
    </row>
    <row r="24" spans="1:30" s="35" customFormat="1" hidden="1">
      <c r="A24" s="44"/>
      <c r="B24" s="44"/>
      <c r="C24" s="44"/>
      <c r="D24" s="44"/>
      <c r="E24" s="44"/>
      <c r="F24" s="44"/>
      <c r="G24" s="44"/>
      <c r="H24" s="44"/>
      <c r="I24" s="44"/>
      <c r="J24" s="44"/>
      <c r="K24" s="44"/>
      <c r="L24" s="44"/>
      <c r="M24" s="51"/>
      <c r="N24" s="52"/>
      <c r="O24" s="52"/>
      <c r="P24" s="53"/>
      <c r="Q24" s="58"/>
      <c r="R24" s="44"/>
      <c r="S24" s="53"/>
      <c r="T24" s="58"/>
      <c r="U24" s="58">
        <f t="shared" si="2"/>
        <v>0</v>
      </c>
      <c r="V24" s="44"/>
      <c r="W24" s="44"/>
      <c r="X24" s="44"/>
      <c r="Y24" s="44"/>
      <c r="Z24" s="44"/>
      <c r="AA24" s="44"/>
      <c r="AB24" s="42"/>
    </row>
    <row r="25" spans="1:30" s="35" customFormat="1" hidden="1">
      <c r="A25" s="44"/>
      <c r="B25" s="44"/>
      <c r="C25" s="44"/>
      <c r="D25" s="44"/>
      <c r="E25" s="44"/>
      <c r="F25" s="44"/>
      <c r="G25" s="44"/>
      <c r="H25" s="44"/>
      <c r="I25" s="44"/>
      <c r="J25" s="44"/>
      <c r="K25" s="44"/>
      <c r="L25" s="44"/>
      <c r="M25" s="51"/>
      <c r="N25" s="52"/>
      <c r="O25" s="52"/>
      <c r="P25" s="53"/>
      <c r="Q25" s="58"/>
      <c r="R25" s="44"/>
      <c r="S25" s="53"/>
      <c r="T25" s="58"/>
      <c r="U25" s="58">
        <f t="shared" si="2"/>
        <v>0</v>
      </c>
      <c r="V25" s="44"/>
      <c r="W25" s="44"/>
      <c r="X25" s="44"/>
      <c r="Y25" s="44"/>
      <c r="Z25" s="44"/>
      <c r="AA25" s="44"/>
      <c r="AB25" s="42"/>
    </row>
    <row r="26" spans="1:30" s="34" customFormat="1" ht="70">
      <c r="A26" s="43">
        <v>2</v>
      </c>
      <c r="B26" s="43" t="str">
        <f>B4</f>
        <v>成都海科工控设备有限公司</v>
      </c>
      <c r="C26" s="43" t="str">
        <f t="shared" ref="C26:G26" si="3">C4</f>
        <v>成都市双流区行政审批局</v>
      </c>
      <c r="D26" s="43" t="str">
        <f t="shared" si="3"/>
        <v>91510122MA61TJJ85E</v>
      </c>
      <c r="E26" s="43" t="str">
        <f t="shared" si="3"/>
        <v>其他有限责任公司</v>
      </c>
      <c r="F26" s="43" t="str">
        <f t="shared" si="3"/>
        <v>国家税务总局成都市双流区税务局</v>
      </c>
      <c r="G26" s="43" t="str">
        <f t="shared" si="3"/>
        <v>收款账号：402249509100012602</v>
      </c>
      <c r="H26" s="43" t="s">
        <v>37</v>
      </c>
      <c r="I26" s="43" t="s">
        <v>1661</v>
      </c>
      <c r="J26" s="43" t="s">
        <v>1662</v>
      </c>
      <c r="K26" s="43">
        <v>100</v>
      </c>
      <c r="L26" s="43" t="s">
        <v>1666</v>
      </c>
      <c r="M26" s="49" t="s">
        <v>1667</v>
      </c>
      <c r="N26" s="50">
        <v>44868</v>
      </c>
      <c r="O26" s="50">
        <v>45039</v>
      </c>
      <c r="P26" s="43">
        <f>P33-N26</f>
        <v>171</v>
      </c>
      <c r="Q26" s="55">
        <f>SUM(Q27:Q47)</f>
        <v>2.02</v>
      </c>
      <c r="R26" s="43">
        <v>0.47</v>
      </c>
      <c r="S26" s="43"/>
      <c r="T26" s="43">
        <f>SUM(T27:T47)</f>
        <v>2.02</v>
      </c>
      <c r="U26" s="56">
        <v>4.2500000000000003E-2</v>
      </c>
      <c r="V26" s="50"/>
      <c r="W26" s="43" t="s">
        <v>1668</v>
      </c>
      <c r="X26" s="57">
        <f>IFERROR(INDEX([3]支持标准!$F$3:$F$5,MATCH('153'!H26,[3]支持标准!$B$3:$B$5)),0)</f>
        <v>0.01</v>
      </c>
      <c r="Y26" s="43">
        <f>ROUNDDOWN(IF((O26-N26+1)*K26*X26/365&gt;R26,R26,(O26-N26+1)*K26*X26/365),2)</f>
        <v>0.47</v>
      </c>
      <c r="Z26" s="43"/>
      <c r="AA26" s="43"/>
      <c r="AB26" s="71" t="s">
        <v>61</v>
      </c>
      <c r="AD26" s="61">
        <f>(O26-N26+1)*K26*X26/365</f>
        <v>0.47120000000000001</v>
      </c>
    </row>
    <row r="27" spans="1:30" s="35" customFormat="1">
      <c r="A27" s="44"/>
      <c r="B27" s="44"/>
      <c r="C27" s="44"/>
      <c r="D27" s="44"/>
      <c r="E27" s="44"/>
      <c r="F27" s="44"/>
      <c r="G27" s="44"/>
      <c r="H27" s="44"/>
      <c r="I27" s="44"/>
      <c r="J27" s="44"/>
      <c r="K27" s="44"/>
      <c r="L27" s="44"/>
      <c r="M27" s="51"/>
      <c r="N27" s="52"/>
      <c r="O27" s="50"/>
      <c r="P27" s="53">
        <v>44886</v>
      </c>
      <c r="Q27" s="58">
        <v>0.21</v>
      </c>
      <c r="R27" s="44"/>
      <c r="S27" s="53">
        <f>P27</f>
        <v>44886</v>
      </c>
      <c r="T27" s="58">
        <f>(S27-N26)/360*$U$26*$K$26</f>
        <v>0.21</v>
      </c>
      <c r="U27" s="58">
        <f>T27-Q27</f>
        <v>0</v>
      </c>
      <c r="V27" s="52"/>
      <c r="W27" s="44"/>
      <c r="X27" s="44"/>
      <c r="Y27" s="62"/>
      <c r="Z27" s="44"/>
      <c r="AA27" s="44"/>
      <c r="AB27" s="44"/>
    </row>
    <row r="28" spans="1:30" s="35" customFormat="1">
      <c r="A28" s="44"/>
      <c r="B28" s="44"/>
      <c r="C28" s="44"/>
      <c r="D28" s="44"/>
      <c r="E28" s="44"/>
      <c r="F28" s="44"/>
      <c r="G28" s="44"/>
      <c r="H28" s="44"/>
      <c r="I28" s="44"/>
      <c r="J28" s="44"/>
      <c r="K28" s="44"/>
      <c r="L28" s="44"/>
      <c r="M28" s="51"/>
      <c r="N28" s="52"/>
      <c r="O28" s="52"/>
      <c r="P28" s="53">
        <v>44916</v>
      </c>
      <c r="Q28" s="58">
        <v>0.35</v>
      </c>
      <c r="R28" s="44"/>
      <c r="S28" s="53">
        <f t="shared" ref="S28:S33" si="4">P28</f>
        <v>44916</v>
      </c>
      <c r="T28" s="58">
        <f>(S28-S27)*$U$26*$K$26/360</f>
        <v>0.35</v>
      </c>
      <c r="U28" s="58">
        <f t="shared" ref="U28:U34" si="5">T28-Q28</f>
        <v>0</v>
      </c>
      <c r="V28" s="52"/>
      <c r="W28" s="44"/>
      <c r="X28" s="44"/>
      <c r="Y28" s="62"/>
      <c r="Z28" s="44"/>
      <c r="AA28" s="44"/>
      <c r="AB28" s="44"/>
    </row>
    <row r="29" spans="1:30" s="35" customFormat="1">
      <c r="A29" s="44"/>
      <c r="B29" s="44"/>
      <c r="C29" s="44"/>
      <c r="D29" s="44"/>
      <c r="E29" s="44"/>
      <c r="F29" s="44"/>
      <c r="G29" s="44"/>
      <c r="H29" s="44"/>
      <c r="I29" s="44"/>
      <c r="J29" s="44"/>
      <c r="K29" s="44"/>
      <c r="L29" s="44"/>
      <c r="M29" s="51"/>
      <c r="N29" s="52"/>
      <c r="O29" s="52"/>
      <c r="P29" s="53">
        <v>44947</v>
      </c>
      <c r="Q29" s="58">
        <v>0.37</v>
      </c>
      <c r="R29" s="44"/>
      <c r="S29" s="53">
        <f t="shared" si="4"/>
        <v>44947</v>
      </c>
      <c r="T29" s="58">
        <f t="shared" ref="T29:T33" si="6">(S29-S28)*$U$26*$K$26/360</f>
        <v>0.37</v>
      </c>
      <c r="U29" s="58">
        <f t="shared" si="5"/>
        <v>0</v>
      </c>
      <c r="V29" s="44"/>
      <c r="W29" s="44"/>
      <c r="X29" s="44"/>
      <c r="Y29" s="44"/>
      <c r="Z29" s="44"/>
      <c r="AA29" s="44"/>
      <c r="AB29" s="44"/>
    </row>
    <row r="30" spans="1:30" s="35" customFormat="1">
      <c r="A30" s="44"/>
      <c r="B30" s="44"/>
      <c r="C30" s="44"/>
      <c r="D30" s="44"/>
      <c r="E30" s="44"/>
      <c r="F30" s="44"/>
      <c r="G30" s="44"/>
      <c r="H30" s="44"/>
      <c r="I30" s="44"/>
      <c r="J30" s="44"/>
      <c r="K30" s="44"/>
      <c r="L30" s="44"/>
      <c r="M30" s="51"/>
      <c r="N30" s="52"/>
      <c r="O30" s="52"/>
      <c r="P30" s="53">
        <v>44978</v>
      </c>
      <c r="Q30" s="58">
        <v>0.37</v>
      </c>
      <c r="R30" s="44"/>
      <c r="S30" s="53">
        <f t="shared" si="4"/>
        <v>44978</v>
      </c>
      <c r="T30" s="58">
        <f t="shared" si="6"/>
        <v>0.37</v>
      </c>
      <c r="U30" s="58">
        <f t="shared" si="5"/>
        <v>0</v>
      </c>
      <c r="V30" s="44"/>
      <c r="W30" s="44"/>
      <c r="X30" s="44"/>
      <c r="Y30" s="44"/>
      <c r="Z30" s="44"/>
      <c r="AA30" s="44"/>
      <c r="AB30" s="44"/>
    </row>
    <row r="31" spans="1:30" s="35" customFormat="1">
      <c r="A31" s="44"/>
      <c r="B31" s="44"/>
      <c r="C31" s="44"/>
      <c r="D31" s="44"/>
      <c r="E31" s="44"/>
      <c r="F31" s="44"/>
      <c r="G31" s="44"/>
      <c r="H31" s="44"/>
      <c r="I31" s="44"/>
      <c r="J31" s="44"/>
      <c r="K31" s="44"/>
      <c r="L31" s="44"/>
      <c r="M31" s="51"/>
      <c r="N31" s="52"/>
      <c r="O31" s="52"/>
      <c r="P31" s="53">
        <v>45006</v>
      </c>
      <c r="Q31" s="58">
        <v>0.33</v>
      </c>
      <c r="R31" s="44"/>
      <c r="S31" s="53">
        <f t="shared" si="4"/>
        <v>45006</v>
      </c>
      <c r="T31" s="58">
        <f t="shared" si="6"/>
        <v>0.33</v>
      </c>
      <c r="U31" s="58">
        <f t="shared" si="5"/>
        <v>0</v>
      </c>
      <c r="V31" s="44"/>
      <c r="W31" s="44"/>
      <c r="X31" s="44"/>
      <c r="Y31" s="44"/>
      <c r="Z31" s="44"/>
      <c r="AA31" s="44"/>
      <c r="AB31" s="44"/>
    </row>
    <row r="32" spans="1:30" s="35" customFormat="1">
      <c r="A32" s="44"/>
      <c r="B32" s="44"/>
      <c r="C32" s="44"/>
      <c r="D32" s="44"/>
      <c r="E32" s="44"/>
      <c r="F32" s="44"/>
      <c r="G32" s="44"/>
      <c r="H32" s="44"/>
      <c r="I32" s="44"/>
      <c r="J32" s="44"/>
      <c r="K32" s="44"/>
      <c r="L32" s="44"/>
      <c r="M32" s="51"/>
      <c r="N32" s="52"/>
      <c r="O32" s="52"/>
      <c r="P32" s="53">
        <v>45037</v>
      </c>
      <c r="Q32" s="58">
        <v>0.37</v>
      </c>
      <c r="R32" s="44"/>
      <c r="S32" s="53">
        <f t="shared" si="4"/>
        <v>45037</v>
      </c>
      <c r="T32" s="58">
        <f t="shared" si="6"/>
        <v>0.37</v>
      </c>
      <c r="U32" s="58">
        <f t="shared" si="5"/>
        <v>0</v>
      </c>
      <c r="V32" s="44"/>
      <c r="W32" s="44"/>
      <c r="X32" s="44"/>
      <c r="Y32" s="44"/>
      <c r="Z32" s="44"/>
      <c r="AA32" s="44"/>
      <c r="AB32" s="44"/>
    </row>
    <row r="33" spans="1:30" s="35" customFormat="1">
      <c r="A33" s="44"/>
      <c r="B33" s="44"/>
      <c r="C33" s="44"/>
      <c r="D33" s="44"/>
      <c r="E33" s="44"/>
      <c r="F33" s="44"/>
      <c r="G33" s="44"/>
      <c r="H33" s="44"/>
      <c r="I33" s="44"/>
      <c r="J33" s="44"/>
      <c r="K33" s="44"/>
      <c r="L33" s="44"/>
      <c r="M33" s="51"/>
      <c r="N33" s="52"/>
      <c r="O33" s="52"/>
      <c r="P33" s="53">
        <v>45039</v>
      </c>
      <c r="Q33" s="58">
        <v>0.02</v>
      </c>
      <c r="R33" s="44"/>
      <c r="S33" s="53">
        <f t="shared" si="4"/>
        <v>45039</v>
      </c>
      <c r="T33" s="58">
        <f t="shared" si="6"/>
        <v>0.02</v>
      </c>
      <c r="U33" s="58">
        <f t="shared" si="5"/>
        <v>0</v>
      </c>
      <c r="V33" s="44"/>
      <c r="W33" s="44"/>
      <c r="X33" s="44"/>
      <c r="Y33" s="44"/>
      <c r="Z33" s="44"/>
      <c r="AA33" s="44"/>
      <c r="AB33" s="44"/>
    </row>
    <row r="34" spans="1:30" s="35" customFormat="1">
      <c r="A34" s="44"/>
      <c r="B34" s="44"/>
      <c r="C34" s="44"/>
      <c r="D34" s="44"/>
      <c r="E34" s="44"/>
      <c r="F34" s="44"/>
      <c r="G34" s="44"/>
      <c r="H34" s="44"/>
      <c r="I34" s="44"/>
      <c r="J34" s="44"/>
      <c r="K34" s="44"/>
      <c r="L34" s="44"/>
      <c r="M34" s="51"/>
      <c r="N34" s="52"/>
      <c r="O34" s="52"/>
      <c r="P34" s="53"/>
      <c r="Q34" s="58"/>
      <c r="R34" s="44"/>
      <c r="S34" s="53"/>
      <c r="T34" s="58"/>
      <c r="U34" s="58">
        <f t="shared" si="5"/>
        <v>0</v>
      </c>
      <c r="V34" s="44"/>
      <c r="W34" s="44"/>
      <c r="X34" s="44"/>
      <c r="Y34" s="44"/>
      <c r="Z34" s="44"/>
      <c r="AA34" s="44"/>
      <c r="AB34" s="44"/>
    </row>
    <row r="35" spans="1:30" s="35" customFormat="1">
      <c r="A35" s="44"/>
      <c r="B35" s="44"/>
      <c r="C35" s="44"/>
      <c r="D35" s="44"/>
      <c r="E35" s="44"/>
      <c r="F35" s="44"/>
      <c r="G35" s="44"/>
      <c r="H35" s="44"/>
      <c r="I35" s="44"/>
      <c r="J35" s="44"/>
      <c r="K35" s="44"/>
      <c r="L35" s="44"/>
      <c r="M35" s="51"/>
      <c r="N35" s="52"/>
      <c r="O35" s="52"/>
      <c r="P35" s="53"/>
      <c r="Q35" s="58"/>
      <c r="R35" s="44"/>
      <c r="S35" s="53"/>
      <c r="T35" s="58"/>
      <c r="U35" s="58"/>
      <c r="V35" s="44"/>
      <c r="W35" s="44"/>
      <c r="X35" s="44"/>
      <c r="Y35" s="44"/>
      <c r="Z35" s="44"/>
      <c r="AA35" s="44"/>
      <c r="AB35" s="44"/>
    </row>
    <row r="36" spans="1:30" s="35" customFormat="1">
      <c r="A36" s="44"/>
      <c r="B36" s="44"/>
      <c r="C36" s="44"/>
      <c r="D36" s="44"/>
      <c r="E36" s="44"/>
      <c r="F36" s="44"/>
      <c r="G36" s="44"/>
      <c r="H36" s="44"/>
      <c r="I36" s="44"/>
      <c r="J36" s="44"/>
      <c r="K36" s="44"/>
      <c r="L36" s="44"/>
      <c r="M36" s="51"/>
      <c r="N36" s="52"/>
      <c r="O36" s="52"/>
      <c r="P36" s="53"/>
      <c r="Q36" s="58"/>
      <c r="R36" s="44"/>
      <c r="S36" s="53"/>
      <c r="T36" s="58"/>
      <c r="U36" s="58"/>
      <c r="V36" s="44"/>
      <c r="W36" s="44"/>
      <c r="X36" s="44"/>
      <c r="Y36" s="44"/>
      <c r="Z36" s="44"/>
      <c r="AA36" s="44"/>
      <c r="AB36" s="44"/>
    </row>
    <row r="37" spans="1:30" s="35" customFormat="1">
      <c r="A37" s="44"/>
      <c r="B37" s="44"/>
      <c r="C37" s="44"/>
      <c r="D37" s="44"/>
      <c r="E37" s="44"/>
      <c r="F37" s="44"/>
      <c r="G37" s="44"/>
      <c r="H37" s="44"/>
      <c r="I37" s="44"/>
      <c r="J37" s="44"/>
      <c r="K37" s="44"/>
      <c r="L37" s="44"/>
      <c r="M37" s="51"/>
      <c r="N37" s="52"/>
      <c r="O37" s="52"/>
      <c r="P37" s="53"/>
      <c r="Q37" s="58"/>
      <c r="R37" s="44"/>
      <c r="S37" s="53"/>
      <c r="T37" s="58"/>
      <c r="U37" s="58"/>
      <c r="V37" s="44"/>
      <c r="W37" s="44"/>
      <c r="X37" s="44"/>
      <c r="Y37" s="44"/>
      <c r="Z37" s="44"/>
      <c r="AA37" s="44"/>
      <c r="AB37" s="44"/>
    </row>
    <row r="38" spans="1:30" s="35" customFormat="1">
      <c r="A38" s="44"/>
      <c r="B38" s="44"/>
      <c r="C38" s="44"/>
      <c r="D38" s="44"/>
      <c r="E38" s="44"/>
      <c r="F38" s="44"/>
      <c r="G38" s="44"/>
      <c r="H38" s="44"/>
      <c r="I38" s="44"/>
      <c r="J38" s="44"/>
      <c r="K38" s="44"/>
      <c r="L38" s="44"/>
      <c r="M38" s="51"/>
      <c r="N38" s="52"/>
      <c r="O38" s="52"/>
      <c r="P38" s="53"/>
      <c r="Q38" s="58"/>
      <c r="R38" s="44"/>
      <c r="S38" s="53"/>
      <c r="T38" s="58"/>
      <c r="U38" s="58"/>
      <c r="V38" s="44"/>
      <c r="W38" s="44"/>
      <c r="X38" s="44"/>
      <c r="Y38" s="44"/>
      <c r="Z38" s="44"/>
      <c r="AA38" s="44"/>
      <c r="AB38" s="44"/>
    </row>
    <row r="39" spans="1:30" s="35" customFormat="1">
      <c r="A39" s="44"/>
      <c r="B39" s="44"/>
      <c r="C39" s="44"/>
      <c r="D39" s="44"/>
      <c r="E39" s="44"/>
      <c r="F39" s="44"/>
      <c r="G39" s="44"/>
      <c r="H39" s="44"/>
      <c r="I39" s="44"/>
      <c r="J39" s="44"/>
      <c r="K39" s="44"/>
      <c r="L39" s="44"/>
      <c r="M39" s="51"/>
      <c r="N39" s="52"/>
      <c r="O39" s="52"/>
      <c r="P39" s="53"/>
      <c r="Q39" s="58"/>
      <c r="R39" s="44"/>
      <c r="S39" s="53"/>
      <c r="T39" s="58"/>
      <c r="U39" s="58"/>
      <c r="V39" s="44"/>
      <c r="W39" s="44"/>
      <c r="X39" s="44"/>
      <c r="Y39" s="44"/>
      <c r="Z39" s="44"/>
      <c r="AA39" s="44"/>
      <c r="AB39" s="44"/>
    </row>
    <row r="40" spans="1:30" s="35" customFormat="1">
      <c r="A40" s="44"/>
      <c r="B40" s="44"/>
      <c r="C40" s="44"/>
      <c r="D40" s="44"/>
      <c r="E40" s="44"/>
      <c r="F40" s="44"/>
      <c r="G40" s="44"/>
      <c r="H40" s="44"/>
      <c r="I40" s="44"/>
      <c r="J40" s="44"/>
      <c r="K40" s="44"/>
      <c r="L40" s="44"/>
      <c r="M40" s="51"/>
      <c r="N40" s="52"/>
      <c r="O40" s="52"/>
      <c r="P40" s="53"/>
      <c r="Q40" s="58"/>
      <c r="R40" s="44"/>
      <c r="S40" s="53"/>
      <c r="T40" s="58"/>
      <c r="U40" s="58"/>
      <c r="V40" s="44"/>
      <c r="W40" s="44"/>
      <c r="X40" s="44"/>
      <c r="Y40" s="44"/>
      <c r="Z40" s="44"/>
      <c r="AA40" s="44"/>
      <c r="AB40" s="44"/>
    </row>
    <row r="41" spans="1:30" s="35" customFormat="1">
      <c r="A41" s="44"/>
      <c r="B41" s="44"/>
      <c r="C41" s="44"/>
      <c r="D41" s="44"/>
      <c r="E41" s="44"/>
      <c r="F41" s="44"/>
      <c r="G41" s="44"/>
      <c r="H41" s="44"/>
      <c r="I41" s="44"/>
      <c r="J41" s="44"/>
      <c r="K41" s="44"/>
      <c r="L41" s="44"/>
      <c r="M41" s="51"/>
      <c r="N41" s="52"/>
      <c r="O41" s="52"/>
      <c r="P41" s="53"/>
      <c r="Q41" s="58"/>
      <c r="R41" s="44"/>
      <c r="S41" s="53"/>
      <c r="T41" s="58"/>
      <c r="U41" s="58"/>
      <c r="V41" s="44"/>
      <c r="W41" s="44"/>
      <c r="X41" s="44"/>
      <c r="Y41" s="44"/>
      <c r="Z41" s="44"/>
      <c r="AA41" s="44"/>
      <c r="AB41" s="44"/>
    </row>
    <row r="42" spans="1:30" s="35" customFormat="1">
      <c r="A42" s="44"/>
      <c r="B42" s="44"/>
      <c r="C42" s="44"/>
      <c r="D42" s="44"/>
      <c r="E42" s="44"/>
      <c r="F42" s="44"/>
      <c r="G42" s="44"/>
      <c r="H42" s="44"/>
      <c r="I42" s="44"/>
      <c r="J42" s="44"/>
      <c r="K42" s="44"/>
      <c r="L42" s="44"/>
      <c r="M42" s="51"/>
      <c r="N42" s="52"/>
      <c r="O42" s="52"/>
      <c r="P42" s="53"/>
      <c r="Q42" s="58"/>
      <c r="R42" s="44"/>
      <c r="S42" s="53"/>
      <c r="T42" s="58"/>
      <c r="U42" s="58"/>
      <c r="V42" s="44"/>
      <c r="W42" s="44"/>
      <c r="X42" s="44"/>
      <c r="Y42" s="44"/>
      <c r="Z42" s="44"/>
      <c r="AA42" s="44"/>
      <c r="AB42" s="44"/>
    </row>
    <row r="43" spans="1:30" s="35" customFormat="1">
      <c r="A43" s="44"/>
      <c r="B43" s="44"/>
      <c r="C43" s="44"/>
      <c r="D43" s="44"/>
      <c r="E43" s="44"/>
      <c r="F43" s="44"/>
      <c r="G43" s="44"/>
      <c r="H43" s="44"/>
      <c r="I43" s="44"/>
      <c r="J43" s="44"/>
      <c r="K43" s="44"/>
      <c r="L43" s="44"/>
      <c r="M43" s="51"/>
      <c r="N43" s="52"/>
      <c r="O43" s="52"/>
      <c r="P43" s="53"/>
      <c r="Q43" s="58"/>
      <c r="R43" s="44"/>
      <c r="S43" s="53"/>
      <c r="T43" s="58"/>
      <c r="U43" s="58"/>
      <c r="V43" s="44"/>
      <c r="W43" s="44"/>
      <c r="X43" s="44"/>
      <c r="Y43" s="44"/>
      <c r="Z43" s="44"/>
      <c r="AA43" s="44"/>
      <c r="AB43" s="44"/>
    </row>
    <row r="44" spans="1:30" s="35" customFormat="1">
      <c r="A44" s="44"/>
      <c r="B44" s="44"/>
      <c r="C44" s="44"/>
      <c r="D44" s="44"/>
      <c r="E44" s="44"/>
      <c r="F44" s="44"/>
      <c r="G44" s="44"/>
      <c r="H44" s="44"/>
      <c r="I44" s="44"/>
      <c r="J44" s="44"/>
      <c r="K44" s="44"/>
      <c r="L44" s="44"/>
      <c r="M44" s="51"/>
      <c r="N44" s="52"/>
      <c r="O44" s="52"/>
      <c r="P44" s="53"/>
      <c r="Q44" s="58"/>
      <c r="R44" s="44"/>
      <c r="S44" s="53"/>
      <c r="T44" s="58"/>
      <c r="U44" s="58"/>
      <c r="V44" s="44"/>
      <c r="W44" s="44"/>
      <c r="X44" s="44"/>
      <c r="Y44" s="44"/>
      <c r="Z44" s="44"/>
      <c r="AA44" s="44"/>
      <c r="AB44" s="44"/>
    </row>
    <row r="45" spans="1:30" s="35" customFormat="1">
      <c r="A45" s="44"/>
      <c r="B45" s="44"/>
      <c r="C45" s="44"/>
      <c r="D45" s="44"/>
      <c r="E45" s="44"/>
      <c r="F45" s="44"/>
      <c r="G45" s="44"/>
      <c r="H45" s="44"/>
      <c r="I45" s="44"/>
      <c r="J45" s="44"/>
      <c r="K45" s="44"/>
      <c r="L45" s="44"/>
      <c r="M45" s="51"/>
      <c r="N45" s="52"/>
      <c r="O45" s="52"/>
      <c r="P45" s="53"/>
      <c r="Q45" s="58"/>
      <c r="R45" s="44"/>
      <c r="S45" s="53"/>
      <c r="T45" s="58"/>
      <c r="U45" s="58"/>
      <c r="V45" s="44"/>
      <c r="W45" s="44"/>
      <c r="X45" s="44"/>
      <c r="Y45" s="44"/>
      <c r="Z45" s="44"/>
      <c r="AA45" s="44"/>
      <c r="AB45" s="44"/>
    </row>
    <row r="46" spans="1:30" s="35" customFormat="1">
      <c r="A46" s="44"/>
      <c r="B46" s="44"/>
      <c r="C46" s="44"/>
      <c r="D46" s="44"/>
      <c r="E46" s="44"/>
      <c r="F46" s="44"/>
      <c r="G46" s="44"/>
      <c r="H46" s="44"/>
      <c r="I46" s="44"/>
      <c r="J46" s="44"/>
      <c r="K46" s="44"/>
      <c r="L46" s="44"/>
      <c r="M46" s="51"/>
      <c r="N46" s="52"/>
      <c r="O46" s="52"/>
      <c r="P46" s="53"/>
      <c r="Q46" s="58"/>
      <c r="R46" s="44"/>
      <c r="S46" s="53"/>
      <c r="T46" s="58"/>
      <c r="U46" s="58"/>
      <c r="V46" s="44"/>
      <c r="W46" s="44"/>
      <c r="X46" s="44"/>
      <c r="Y46" s="44"/>
      <c r="Z46" s="44"/>
      <c r="AA46" s="44"/>
      <c r="AB46" s="44"/>
    </row>
    <row r="47" spans="1:30" s="35" customFormat="1">
      <c r="A47" s="44"/>
      <c r="B47" s="44"/>
      <c r="C47" s="44"/>
      <c r="D47" s="44"/>
      <c r="E47" s="44"/>
      <c r="F47" s="44"/>
      <c r="G47" s="44"/>
      <c r="H47" s="44"/>
      <c r="I47" s="44"/>
      <c r="J47" s="44"/>
      <c r="K47" s="44"/>
      <c r="L47" s="44"/>
      <c r="M47" s="51"/>
      <c r="N47" s="52"/>
      <c r="O47" s="52"/>
      <c r="P47" s="53"/>
      <c r="Q47" s="58"/>
      <c r="R47" s="44"/>
      <c r="S47" s="53"/>
      <c r="T47" s="58"/>
      <c r="U47" s="58"/>
      <c r="V47" s="44"/>
      <c r="W47" s="44"/>
      <c r="X47" s="44"/>
      <c r="Y47" s="44"/>
      <c r="Z47" s="44"/>
      <c r="AA47" s="44"/>
      <c r="AB47" s="44"/>
    </row>
    <row r="48" spans="1:30" s="34" customFormat="1" ht="70" hidden="1">
      <c r="A48" s="43">
        <v>3</v>
      </c>
      <c r="B48" s="43" t="str">
        <f>B26</f>
        <v>成都海科工控设备有限公司</v>
      </c>
      <c r="C48" s="43" t="str">
        <f t="shared" ref="C48:G48" si="7">C26</f>
        <v>成都市双流区行政审批局</v>
      </c>
      <c r="D48" s="43" t="str">
        <f t="shared" si="7"/>
        <v>91510122MA61TJJ85E</v>
      </c>
      <c r="E48" s="43" t="str">
        <f t="shared" si="7"/>
        <v>其他有限责任公司</v>
      </c>
      <c r="F48" s="43" t="str">
        <f t="shared" si="7"/>
        <v>国家税务总局成都市双流区税务局</v>
      </c>
      <c r="G48" s="43" t="str">
        <f t="shared" si="7"/>
        <v>收款账号：402249509100012602</v>
      </c>
      <c r="H48" s="43"/>
      <c r="I48" s="43"/>
      <c r="J48" s="43"/>
      <c r="K48" s="43"/>
      <c r="L48" s="43"/>
      <c r="M48" s="49"/>
      <c r="N48" s="50"/>
      <c r="O48" s="50"/>
      <c r="P48" s="43">
        <f>P50-N48</f>
        <v>0</v>
      </c>
      <c r="Q48" s="55">
        <f>SUM(Q49:Q69)</f>
        <v>0</v>
      </c>
      <c r="R48" s="43"/>
      <c r="S48" s="43"/>
      <c r="T48" s="43">
        <f>SUM(T49:T69)</f>
        <v>0</v>
      </c>
      <c r="U48" s="56"/>
      <c r="V48" s="50"/>
      <c r="W48" s="43"/>
      <c r="X48" s="57">
        <f>IFERROR(INDEX([3]支持标准!$F$3:$F$5,MATCH('153'!H48,[3]支持标准!$B$3:$B$5)),0)</f>
        <v>0</v>
      </c>
      <c r="Y48" s="43">
        <f>ROUNDUP(IF((O48-N48+1)*K48*X48/365&gt;R48,R48,(O48-N48+1)*K48*X48/365),2)</f>
        <v>0</v>
      </c>
      <c r="Z48" s="63"/>
      <c r="AA48" s="63"/>
      <c r="AB48" s="43"/>
      <c r="AD48" s="61">
        <f>(O48-N48+1)*K48*X48/365</f>
        <v>0</v>
      </c>
    </row>
    <row r="49" spans="1:28" s="35" customFormat="1" hidden="1">
      <c r="A49" s="44"/>
      <c r="B49" s="44"/>
      <c r="C49" s="44"/>
      <c r="D49" s="44"/>
      <c r="E49" s="44"/>
      <c r="F49" s="44"/>
      <c r="G49" s="44"/>
      <c r="H49" s="44"/>
      <c r="I49" s="44"/>
      <c r="J49" s="44"/>
      <c r="K49" s="44"/>
      <c r="L49" s="44"/>
      <c r="M49" s="51"/>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53"/>
      <c r="Q50" s="58"/>
      <c r="R50" s="44"/>
      <c r="S50" s="53">
        <f t="shared" ref="S50" si="8">P50</f>
        <v>0</v>
      </c>
      <c r="T50" s="58">
        <f>(S50-S49)*$U$48*$K$48/360</f>
        <v>0</v>
      </c>
      <c r="U50" s="58">
        <f t="shared" ref="U50" si="9">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53"/>
      <c r="Q64" s="58"/>
      <c r="R64" s="44"/>
      <c r="S64" s="53"/>
      <c r="T64" s="58"/>
      <c r="U64" s="58"/>
      <c r="V64" s="44"/>
      <c r="W64" s="44"/>
      <c r="X64" s="44"/>
      <c r="Y64" s="44"/>
      <c r="Z64" s="44"/>
      <c r="AA64" s="44"/>
      <c r="AB64" s="44"/>
    </row>
    <row r="65" spans="1:30" s="35" customFormat="1" hidden="1">
      <c r="A65" s="44"/>
      <c r="B65" s="44"/>
      <c r="C65" s="44"/>
      <c r="D65" s="44"/>
      <c r="E65" s="44"/>
      <c r="F65" s="44"/>
      <c r="G65" s="44"/>
      <c r="H65" s="44"/>
      <c r="I65" s="44"/>
      <c r="J65" s="44"/>
      <c r="K65" s="44"/>
      <c r="L65" s="44"/>
      <c r="M65" s="51"/>
      <c r="N65" s="52"/>
      <c r="O65" s="52"/>
      <c r="P65" s="53"/>
      <c r="Q65" s="58"/>
      <c r="R65" s="44"/>
      <c r="S65" s="53"/>
      <c r="T65" s="58"/>
      <c r="U65" s="58"/>
      <c r="V65" s="44"/>
      <c r="W65" s="44"/>
      <c r="X65" s="44"/>
      <c r="Y65" s="44"/>
      <c r="Z65" s="44"/>
      <c r="AA65" s="44"/>
      <c r="AB65" s="44"/>
    </row>
    <row r="66" spans="1:30" s="35" customFormat="1" hidden="1">
      <c r="A66" s="44"/>
      <c r="B66" s="44"/>
      <c r="C66" s="44"/>
      <c r="D66" s="44"/>
      <c r="E66" s="44"/>
      <c r="F66" s="44"/>
      <c r="G66" s="44"/>
      <c r="H66" s="44"/>
      <c r="I66" s="44"/>
      <c r="J66" s="44"/>
      <c r="K66" s="44"/>
      <c r="L66" s="44"/>
      <c r="M66" s="51"/>
      <c r="N66" s="52"/>
      <c r="O66" s="52"/>
      <c r="P66" s="53"/>
      <c r="Q66" s="58"/>
      <c r="R66" s="44"/>
      <c r="S66" s="53"/>
      <c r="T66" s="58"/>
      <c r="U66" s="58"/>
      <c r="V66" s="44"/>
      <c r="W66" s="44"/>
      <c r="X66" s="44"/>
      <c r="Y66" s="44"/>
      <c r="Z66" s="44"/>
      <c r="AA66" s="44"/>
      <c r="AB66" s="44"/>
    </row>
    <row r="67" spans="1:30" s="35" customFormat="1" hidden="1">
      <c r="A67" s="44"/>
      <c r="B67" s="44"/>
      <c r="C67" s="44"/>
      <c r="D67" s="44"/>
      <c r="E67" s="44"/>
      <c r="F67" s="44"/>
      <c r="G67" s="44"/>
      <c r="H67" s="44"/>
      <c r="I67" s="44"/>
      <c r="J67" s="44"/>
      <c r="K67" s="44"/>
      <c r="L67" s="44"/>
      <c r="M67" s="51"/>
      <c r="N67" s="52"/>
      <c r="O67" s="52"/>
      <c r="P67" s="53"/>
      <c r="Q67" s="58"/>
      <c r="R67" s="44"/>
      <c r="S67" s="53"/>
      <c r="T67" s="58"/>
      <c r="U67" s="58"/>
      <c r="V67" s="44"/>
      <c r="W67" s="44"/>
      <c r="X67" s="44"/>
      <c r="Y67" s="44"/>
      <c r="Z67" s="44"/>
      <c r="AA67" s="44"/>
      <c r="AB67" s="44"/>
    </row>
    <row r="68" spans="1:30" s="35" customFormat="1" hidden="1">
      <c r="A68" s="44"/>
      <c r="B68" s="44"/>
      <c r="C68" s="44"/>
      <c r="D68" s="44"/>
      <c r="E68" s="44"/>
      <c r="F68" s="44"/>
      <c r="G68" s="44"/>
      <c r="H68" s="44"/>
      <c r="I68" s="44"/>
      <c r="J68" s="44"/>
      <c r="K68" s="44"/>
      <c r="L68" s="44"/>
      <c r="M68" s="51"/>
      <c r="N68" s="52"/>
      <c r="O68" s="52"/>
      <c r="P68" s="53"/>
      <c r="Q68" s="58"/>
      <c r="R68" s="44"/>
      <c r="S68" s="53"/>
      <c r="T68" s="58"/>
      <c r="U68" s="58"/>
      <c r="V68" s="44"/>
      <c r="W68" s="44"/>
      <c r="X68" s="44"/>
      <c r="Y68" s="44"/>
      <c r="Z68" s="44"/>
      <c r="AA68" s="44"/>
      <c r="AB68" s="44"/>
    </row>
    <row r="69" spans="1:30" s="35" customFormat="1" hidden="1">
      <c r="A69" s="44"/>
      <c r="B69" s="44"/>
      <c r="C69" s="44"/>
      <c r="D69" s="44"/>
      <c r="E69" s="44"/>
      <c r="F69" s="44"/>
      <c r="G69" s="44"/>
      <c r="H69" s="44"/>
      <c r="I69" s="44"/>
      <c r="J69" s="44"/>
      <c r="K69" s="44"/>
      <c r="L69" s="44"/>
      <c r="M69" s="51"/>
      <c r="N69" s="52"/>
      <c r="O69" s="52"/>
      <c r="P69" s="53"/>
      <c r="Q69" s="58"/>
      <c r="R69" s="44"/>
      <c r="S69" s="53"/>
      <c r="T69" s="58"/>
      <c r="U69" s="58"/>
      <c r="V69" s="44"/>
      <c r="W69" s="44"/>
      <c r="X69" s="44"/>
      <c r="Y69" s="44"/>
      <c r="Z69" s="44"/>
      <c r="AA69" s="44"/>
      <c r="AB69" s="44"/>
    </row>
    <row r="70" spans="1:30" s="34" customFormat="1" ht="70" hidden="1">
      <c r="A70" s="43">
        <v>4</v>
      </c>
      <c r="B70" s="43" t="str">
        <f>B48</f>
        <v>成都海科工控设备有限公司</v>
      </c>
      <c r="C70" s="43" t="str">
        <f t="shared" ref="C70:G70" si="10">C48</f>
        <v>成都市双流区行政审批局</v>
      </c>
      <c r="D70" s="43" t="str">
        <f t="shared" si="10"/>
        <v>91510122MA61TJJ85E</v>
      </c>
      <c r="E70" s="43" t="str">
        <f t="shared" si="10"/>
        <v>其他有限责任公司</v>
      </c>
      <c r="F70" s="43" t="str">
        <f t="shared" si="10"/>
        <v>国家税务总局成都市双流区税务局</v>
      </c>
      <c r="G70" s="43" t="str">
        <f t="shared" si="10"/>
        <v>收款账号：402249509100012602</v>
      </c>
      <c r="H70" s="43"/>
      <c r="I70" s="43"/>
      <c r="J70" s="43"/>
      <c r="K70" s="43"/>
      <c r="L70" s="43"/>
      <c r="M70" s="49"/>
      <c r="N70" s="50"/>
      <c r="O70" s="50"/>
      <c r="P70" s="43"/>
      <c r="Q70" s="55">
        <f>SUM(Q71:Q91)</f>
        <v>0</v>
      </c>
      <c r="R70" s="43"/>
      <c r="S70" s="43"/>
      <c r="T70" s="43">
        <f>SUM(T71:T91)</f>
        <v>0</v>
      </c>
      <c r="U70" s="43"/>
      <c r="V70" s="50"/>
      <c r="W70" s="43"/>
      <c r="X70" s="57">
        <f>IFERROR(INDEX([3]支持标准!$F$3:$F$5,MATCH('153'!H70,[3]支持标准!$B$3:$B$5)),0)</f>
        <v>0</v>
      </c>
      <c r="Y70" s="43">
        <f>ROUNDUP(IF((O70-N70+1)*K70*X70/365&gt;R70,R70,(O70-N70+1)*K70*X70/365),2)</f>
        <v>0</v>
      </c>
      <c r="Z70" s="43"/>
      <c r="AA70" s="43"/>
      <c r="AB70" s="43"/>
      <c r="AD70" s="61">
        <f>(O70-N70+1)*K70*X70/365</f>
        <v>0</v>
      </c>
    </row>
    <row r="71" spans="1:30" s="35" customFormat="1" hidden="1">
      <c r="A71" s="44"/>
      <c r="B71" s="44"/>
      <c r="C71" s="44"/>
      <c r="D71" s="44"/>
      <c r="E71" s="44"/>
      <c r="F71" s="44"/>
      <c r="G71" s="44"/>
      <c r="H71" s="44"/>
      <c r="I71" s="44"/>
      <c r="J71" s="44"/>
      <c r="K71" s="44"/>
      <c r="L71" s="44"/>
      <c r="M71" s="51"/>
      <c r="N71" s="52"/>
      <c r="O71" s="52"/>
      <c r="P71" s="53"/>
      <c r="Q71" s="58"/>
      <c r="R71" s="44"/>
      <c r="S71" s="53"/>
      <c r="T71" s="58"/>
      <c r="U71" s="58"/>
      <c r="V71" s="52"/>
      <c r="W71" s="44"/>
      <c r="X71" s="44"/>
      <c r="Y71" s="44"/>
      <c r="Z71" s="44"/>
      <c r="AA71" s="44"/>
      <c r="AB71" s="44"/>
    </row>
    <row r="72" spans="1:30" s="35" customFormat="1" hidden="1">
      <c r="A72" s="44"/>
      <c r="B72" s="44"/>
      <c r="C72" s="44"/>
      <c r="D72" s="44"/>
      <c r="E72" s="44"/>
      <c r="F72" s="44"/>
      <c r="G72" s="44"/>
      <c r="H72" s="44"/>
      <c r="I72" s="44"/>
      <c r="J72" s="44"/>
      <c r="K72" s="44"/>
      <c r="L72" s="44"/>
      <c r="M72" s="51"/>
      <c r="N72" s="52"/>
      <c r="O72" s="52"/>
      <c r="P72" s="53"/>
      <c r="Q72" s="58"/>
      <c r="R72" s="44"/>
      <c r="S72" s="53"/>
      <c r="T72" s="58"/>
      <c r="U72" s="58"/>
      <c r="V72" s="44"/>
      <c r="W72" s="44"/>
      <c r="X72" s="44"/>
      <c r="Y72" s="44"/>
      <c r="Z72" s="44"/>
      <c r="AA72" s="44"/>
      <c r="AB72" s="44"/>
    </row>
    <row r="73" spans="1:30" s="35" customFormat="1" hidden="1">
      <c r="A73" s="44"/>
      <c r="B73" s="44"/>
      <c r="C73" s="44"/>
      <c r="D73" s="44"/>
      <c r="E73" s="44"/>
      <c r="F73" s="44"/>
      <c r="G73" s="44"/>
      <c r="H73" s="44"/>
      <c r="I73" s="44"/>
      <c r="J73" s="44"/>
      <c r="K73" s="44"/>
      <c r="L73" s="44"/>
      <c r="M73" s="51"/>
      <c r="N73" s="52"/>
      <c r="O73" s="52"/>
      <c r="P73" s="53"/>
      <c r="Q73" s="58"/>
      <c r="R73" s="44"/>
      <c r="S73" s="53"/>
      <c r="T73" s="58"/>
      <c r="U73" s="58"/>
      <c r="V73" s="44"/>
      <c r="W73" s="44"/>
      <c r="X73" s="44"/>
      <c r="Y73" s="44"/>
      <c r="Z73" s="44"/>
      <c r="AA73" s="44"/>
      <c r="AB73" s="44"/>
    </row>
    <row r="74" spans="1:30" s="35" customFormat="1" hidden="1">
      <c r="A74" s="44"/>
      <c r="B74" s="44"/>
      <c r="C74" s="44"/>
      <c r="D74" s="44"/>
      <c r="E74" s="44"/>
      <c r="F74" s="44"/>
      <c r="G74" s="44"/>
      <c r="H74" s="44"/>
      <c r="I74" s="44"/>
      <c r="J74" s="44"/>
      <c r="K74" s="44"/>
      <c r="L74" s="44"/>
      <c r="M74" s="51"/>
      <c r="N74" s="52"/>
      <c r="O74" s="52"/>
      <c r="P74" s="53"/>
      <c r="Q74" s="58"/>
      <c r="R74" s="44"/>
      <c r="S74" s="53"/>
      <c r="T74" s="58"/>
      <c r="U74" s="58"/>
      <c r="V74" s="44"/>
      <c r="W74" s="44"/>
      <c r="X74" s="44"/>
      <c r="Y74" s="44"/>
      <c r="Z74" s="44"/>
      <c r="AA74" s="44"/>
      <c r="AB74" s="44"/>
    </row>
    <row r="75" spans="1:30" s="35" customFormat="1" hidden="1">
      <c r="A75" s="44"/>
      <c r="B75" s="44"/>
      <c r="C75" s="44"/>
      <c r="D75" s="44"/>
      <c r="E75" s="44"/>
      <c r="F75" s="44"/>
      <c r="G75" s="44"/>
      <c r="H75" s="44"/>
      <c r="I75" s="44"/>
      <c r="J75" s="44"/>
      <c r="K75" s="44"/>
      <c r="L75" s="44"/>
      <c r="M75" s="51"/>
      <c r="N75" s="52"/>
      <c r="O75" s="52"/>
      <c r="P75" s="53"/>
      <c r="Q75" s="58"/>
      <c r="R75" s="44"/>
      <c r="S75" s="53"/>
      <c r="T75" s="58"/>
      <c r="U75" s="58"/>
      <c r="V75" s="44"/>
      <c r="W75" s="44"/>
      <c r="X75" s="44"/>
      <c r="Y75" s="44"/>
      <c r="Z75" s="44"/>
      <c r="AA75" s="44"/>
      <c r="AB75" s="44"/>
    </row>
    <row r="76" spans="1:30" s="35" customFormat="1" hidden="1">
      <c r="A76" s="44"/>
      <c r="B76" s="44"/>
      <c r="C76" s="44"/>
      <c r="D76" s="44"/>
      <c r="E76" s="44"/>
      <c r="F76" s="44"/>
      <c r="G76" s="44"/>
      <c r="H76" s="44"/>
      <c r="I76" s="44"/>
      <c r="J76" s="44"/>
      <c r="K76" s="44"/>
      <c r="L76" s="44"/>
      <c r="M76" s="51"/>
      <c r="N76" s="52"/>
      <c r="O76" s="52"/>
      <c r="P76" s="53"/>
      <c r="Q76" s="58"/>
      <c r="R76" s="44"/>
      <c r="S76" s="53"/>
      <c r="T76" s="58"/>
      <c r="U76" s="58"/>
      <c r="V76" s="44"/>
      <c r="W76" s="44"/>
      <c r="X76" s="44"/>
      <c r="Y76" s="44"/>
      <c r="Z76" s="44"/>
      <c r="AA76" s="44"/>
      <c r="AB76" s="44"/>
    </row>
    <row r="77" spans="1:30" s="35" customFormat="1" hidden="1">
      <c r="A77" s="44"/>
      <c r="B77" s="44"/>
      <c r="C77" s="44"/>
      <c r="D77" s="44"/>
      <c r="E77" s="44"/>
      <c r="F77" s="44"/>
      <c r="G77" s="44"/>
      <c r="H77" s="44"/>
      <c r="I77" s="44"/>
      <c r="J77" s="44"/>
      <c r="K77" s="44"/>
      <c r="L77" s="44"/>
      <c r="M77" s="51"/>
      <c r="N77" s="52"/>
      <c r="O77" s="52"/>
      <c r="P77" s="53"/>
      <c r="Q77" s="58"/>
      <c r="R77" s="44"/>
      <c r="S77" s="53"/>
      <c r="T77" s="58"/>
      <c r="U77" s="58"/>
      <c r="V77" s="44"/>
      <c r="W77" s="44"/>
      <c r="X77" s="44"/>
      <c r="Y77" s="44"/>
      <c r="Z77" s="44"/>
      <c r="AA77" s="44"/>
      <c r="AB77" s="44"/>
    </row>
    <row r="78" spans="1:30" s="35" customFormat="1" hidden="1">
      <c r="A78" s="44"/>
      <c r="B78" s="44"/>
      <c r="C78" s="44"/>
      <c r="D78" s="44"/>
      <c r="E78" s="44"/>
      <c r="F78" s="44"/>
      <c r="G78" s="44"/>
      <c r="H78" s="44"/>
      <c r="I78" s="44"/>
      <c r="J78" s="44"/>
      <c r="K78" s="44"/>
      <c r="L78" s="44"/>
      <c r="M78" s="51"/>
      <c r="N78" s="52"/>
      <c r="O78" s="52"/>
      <c r="P78" s="53"/>
      <c r="Q78" s="58"/>
      <c r="R78" s="44"/>
      <c r="S78" s="53"/>
      <c r="T78" s="58"/>
      <c r="U78" s="58"/>
      <c r="V78" s="44"/>
      <c r="W78" s="44"/>
      <c r="X78" s="44"/>
      <c r="Y78" s="44"/>
      <c r="Z78" s="44"/>
      <c r="AA78" s="44"/>
      <c r="AB78" s="44"/>
    </row>
    <row r="79" spans="1:30" s="35" customFormat="1" hidden="1">
      <c r="A79" s="44"/>
      <c r="B79" s="44"/>
      <c r="C79" s="44"/>
      <c r="D79" s="44"/>
      <c r="E79" s="44"/>
      <c r="F79" s="44"/>
      <c r="G79" s="44"/>
      <c r="H79" s="44"/>
      <c r="I79" s="44"/>
      <c r="J79" s="44"/>
      <c r="K79" s="44"/>
      <c r="L79" s="44"/>
      <c r="M79" s="51"/>
      <c r="N79" s="52"/>
      <c r="O79" s="52"/>
      <c r="P79" s="53"/>
      <c r="Q79" s="58"/>
      <c r="R79" s="44"/>
      <c r="S79" s="53"/>
      <c r="T79" s="58"/>
      <c r="U79" s="58"/>
      <c r="V79" s="44"/>
      <c r="W79" s="44"/>
      <c r="X79" s="44"/>
      <c r="Y79" s="44"/>
      <c r="Z79" s="44"/>
      <c r="AA79" s="44"/>
      <c r="AB79" s="44"/>
    </row>
    <row r="80" spans="1:30" s="35" customFormat="1" hidden="1">
      <c r="A80" s="44"/>
      <c r="B80" s="44"/>
      <c r="C80" s="44"/>
      <c r="D80" s="44"/>
      <c r="E80" s="44"/>
      <c r="F80" s="44"/>
      <c r="G80" s="44"/>
      <c r="H80" s="44"/>
      <c r="I80" s="44"/>
      <c r="J80" s="44"/>
      <c r="K80" s="44"/>
      <c r="L80" s="44"/>
      <c r="M80" s="51"/>
      <c r="N80" s="52"/>
      <c r="O80" s="52"/>
      <c r="P80" s="53"/>
      <c r="Q80" s="58"/>
      <c r="R80" s="44"/>
      <c r="S80" s="53"/>
      <c r="T80" s="58"/>
      <c r="U80" s="58"/>
      <c r="V80" s="44"/>
      <c r="W80" s="44"/>
      <c r="X80" s="44"/>
      <c r="Y80" s="44"/>
      <c r="Z80" s="44"/>
      <c r="AA80" s="44"/>
      <c r="AB80" s="44"/>
    </row>
    <row r="81" spans="1:30" s="35" customFormat="1" hidden="1">
      <c r="A81" s="44"/>
      <c r="B81" s="44"/>
      <c r="C81" s="44"/>
      <c r="D81" s="44"/>
      <c r="E81" s="44"/>
      <c r="F81" s="44"/>
      <c r="G81" s="44"/>
      <c r="H81" s="44"/>
      <c r="I81" s="44"/>
      <c r="J81" s="44"/>
      <c r="K81" s="44"/>
      <c r="L81" s="44"/>
      <c r="M81" s="51"/>
      <c r="N81" s="52"/>
      <c r="O81" s="52"/>
      <c r="P81" s="53"/>
      <c r="Q81" s="58"/>
      <c r="R81" s="44"/>
      <c r="S81" s="53"/>
      <c r="T81" s="58"/>
      <c r="U81" s="58"/>
      <c r="V81" s="44"/>
      <c r="W81" s="44"/>
      <c r="X81" s="44"/>
      <c r="Y81" s="44"/>
      <c r="Z81" s="44"/>
      <c r="AA81" s="44"/>
      <c r="AB81" s="44"/>
    </row>
    <row r="82" spans="1:30" s="35" customFormat="1" hidden="1">
      <c r="A82" s="44"/>
      <c r="B82" s="44"/>
      <c r="C82" s="44"/>
      <c r="D82" s="44"/>
      <c r="E82" s="44"/>
      <c r="F82" s="44"/>
      <c r="G82" s="44"/>
      <c r="H82" s="44"/>
      <c r="I82" s="44"/>
      <c r="J82" s="44"/>
      <c r="K82" s="44"/>
      <c r="L82" s="44"/>
      <c r="M82" s="51"/>
      <c r="N82" s="52"/>
      <c r="O82" s="52"/>
      <c r="P82" s="53"/>
      <c r="Q82" s="58"/>
      <c r="R82" s="44"/>
      <c r="S82" s="53"/>
      <c r="T82" s="58"/>
      <c r="U82" s="58"/>
      <c r="V82" s="44"/>
      <c r="W82" s="44"/>
      <c r="X82" s="44"/>
      <c r="Y82" s="44"/>
      <c r="Z82" s="44"/>
      <c r="AA82" s="44"/>
      <c r="AB82" s="44"/>
    </row>
    <row r="83" spans="1:30" s="35" customFormat="1" hidden="1">
      <c r="A83" s="44"/>
      <c r="B83" s="44"/>
      <c r="C83" s="44"/>
      <c r="D83" s="44"/>
      <c r="E83" s="44"/>
      <c r="F83" s="44"/>
      <c r="G83" s="44"/>
      <c r="H83" s="44"/>
      <c r="I83" s="44"/>
      <c r="J83" s="44"/>
      <c r="K83" s="44"/>
      <c r="L83" s="44"/>
      <c r="M83" s="51"/>
      <c r="N83" s="52"/>
      <c r="O83" s="52"/>
      <c r="P83" s="53"/>
      <c r="Q83" s="58"/>
      <c r="R83" s="44"/>
      <c r="S83" s="53"/>
      <c r="T83" s="58"/>
      <c r="U83" s="58"/>
      <c r="V83" s="44"/>
      <c r="W83" s="44"/>
      <c r="X83" s="44"/>
      <c r="Y83" s="44"/>
      <c r="Z83" s="44"/>
      <c r="AA83" s="44"/>
      <c r="AB83" s="44"/>
    </row>
    <row r="84" spans="1:30" s="35" customFormat="1" hidden="1">
      <c r="A84" s="44"/>
      <c r="B84" s="44"/>
      <c r="C84" s="44"/>
      <c r="D84" s="44"/>
      <c r="E84" s="44"/>
      <c r="F84" s="44"/>
      <c r="G84" s="44"/>
      <c r="H84" s="44"/>
      <c r="I84" s="44"/>
      <c r="J84" s="44"/>
      <c r="K84" s="44"/>
      <c r="L84" s="44"/>
      <c r="M84" s="51"/>
      <c r="N84" s="52"/>
      <c r="O84" s="52"/>
      <c r="P84" s="53"/>
      <c r="Q84" s="58"/>
      <c r="R84" s="44"/>
      <c r="S84" s="53"/>
      <c r="T84" s="58"/>
      <c r="U84" s="58"/>
      <c r="V84" s="44"/>
      <c r="W84" s="44"/>
      <c r="X84" s="44"/>
      <c r="Y84" s="44"/>
      <c r="Z84" s="44"/>
      <c r="AA84" s="44"/>
      <c r="AB84" s="44"/>
    </row>
    <row r="85" spans="1:30" s="35" customFormat="1" hidden="1">
      <c r="A85" s="44"/>
      <c r="B85" s="44"/>
      <c r="C85" s="44"/>
      <c r="D85" s="44"/>
      <c r="E85" s="44"/>
      <c r="F85" s="44"/>
      <c r="G85" s="44"/>
      <c r="H85" s="44"/>
      <c r="I85" s="44"/>
      <c r="J85" s="44"/>
      <c r="K85" s="44"/>
      <c r="L85" s="44"/>
      <c r="M85" s="51"/>
      <c r="N85" s="52"/>
      <c r="O85" s="52"/>
      <c r="P85" s="53"/>
      <c r="Q85" s="58"/>
      <c r="R85" s="44"/>
      <c r="S85" s="53"/>
      <c r="T85" s="58"/>
      <c r="U85" s="58"/>
      <c r="V85" s="44"/>
      <c r="W85" s="44"/>
      <c r="X85" s="44"/>
      <c r="Y85" s="44"/>
      <c r="Z85" s="44"/>
      <c r="AA85" s="44"/>
      <c r="AB85" s="44"/>
    </row>
    <row r="86" spans="1:30" s="35" customFormat="1" hidden="1">
      <c r="A86" s="44"/>
      <c r="B86" s="44"/>
      <c r="C86" s="44"/>
      <c r="D86" s="44"/>
      <c r="E86" s="44"/>
      <c r="F86" s="44"/>
      <c r="G86" s="44"/>
      <c r="H86" s="44"/>
      <c r="I86" s="44"/>
      <c r="J86" s="44"/>
      <c r="K86" s="44"/>
      <c r="L86" s="44"/>
      <c r="M86" s="51"/>
      <c r="N86" s="52"/>
      <c r="O86" s="52"/>
      <c r="P86" s="53"/>
      <c r="Q86" s="58"/>
      <c r="R86" s="44"/>
      <c r="S86" s="53"/>
      <c r="T86" s="58"/>
      <c r="U86" s="58"/>
      <c r="V86" s="44"/>
      <c r="W86" s="44"/>
      <c r="X86" s="44"/>
      <c r="Y86" s="44"/>
      <c r="Z86" s="44"/>
      <c r="AA86" s="44"/>
      <c r="AB86" s="44"/>
    </row>
    <row r="87" spans="1:30" s="35" customFormat="1" hidden="1">
      <c r="A87" s="44"/>
      <c r="B87" s="44"/>
      <c r="C87" s="44"/>
      <c r="D87" s="44"/>
      <c r="E87" s="44"/>
      <c r="F87" s="44"/>
      <c r="G87" s="44"/>
      <c r="H87" s="44"/>
      <c r="I87" s="44"/>
      <c r="J87" s="44"/>
      <c r="K87" s="44"/>
      <c r="L87" s="44"/>
      <c r="M87" s="51"/>
      <c r="N87" s="52"/>
      <c r="O87" s="52"/>
      <c r="P87" s="53"/>
      <c r="Q87" s="58"/>
      <c r="R87" s="44"/>
      <c r="S87" s="53"/>
      <c r="T87" s="58"/>
      <c r="U87" s="58"/>
      <c r="V87" s="44"/>
      <c r="W87" s="44"/>
      <c r="X87" s="44"/>
      <c r="Y87" s="44"/>
      <c r="Z87" s="44"/>
      <c r="AA87" s="44"/>
      <c r="AB87" s="44"/>
    </row>
    <row r="88" spans="1:30" s="35" customFormat="1" hidden="1">
      <c r="A88" s="44"/>
      <c r="B88" s="44"/>
      <c r="C88" s="44"/>
      <c r="D88" s="44"/>
      <c r="E88" s="44"/>
      <c r="F88" s="44"/>
      <c r="G88" s="44"/>
      <c r="H88" s="44"/>
      <c r="I88" s="44"/>
      <c r="J88" s="44"/>
      <c r="K88" s="44"/>
      <c r="L88" s="44"/>
      <c r="M88" s="51"/>
      <c r="N88" s="52"/>
      <c r="O88" s="52"/>
      <c r="P88" s="53"/>
      <c r="Q88" s="58"/>
      <c r="R88" s="44"/>
      <c r="S88" s="53"/>
      <c r="T88" s="58"/>
      <c r="U88" s="58"/>
      <c r="V88" s="44"/>
      <c r="W88" s="44"/>
      <c r="X88" s="44"/>
      <c r="Y88" s="44"/>
      <c r="Z88" s="44"/>
      <c r="AA88" s="44"/>
      <c r="AB88" s="44"/>
    </row>
    <row r="89" spans="1:30" s="35" customFormat="1" hidden="1">
      <c r="A89" s="44"/>
      <c r="B89" s="44"/>
      <c r="C89" s="44"/>
      <c r="D89" s="44"/>
      <c r="E89" s="44"/>
      <c r="F89" s="44"/>
      <c r="G89" s="44"/>
      <c r="H89" s="44"/>
      <c r="I89" s="44"/>
      <c r="J89" s="44"/>
      <c r="K89" s="44"/>
      <c r="L89" s="44"/>
      <c r="M89" s="51"/>
      <c r="N89" s="52"/>
      <c r="O89" s="52"/>
      <c r="P89" s="53"/>
      <c r="Q89" s="58"/>
      <c r="R89" s="44"/>
      <c r="S89" s="53"/>
      <c r="T89" s="58"/>
      <c r="U89" s="58"/>
      <c r="V89" s="44"/>
      <c r="W89" s="44"/>
      <c r="X89" s="44"/>
      <c r="Y89" s="44"/>
      <c r="Z89" s="44"/>
      <c r="AA89" s="44"/>
      <c r="AB89" s="44"/>
    </row>
    <row r="90" spans="1:30" s="35" customFormat="1" hidden="1">
      <c r="A90" s="44"/>
      <c r="B90" s="44"/>
      <c r="C90" s="44"/>
      <c r="D90" s="44"/>
      <c r="E90" s="44"/>
      <c r="F90" s="44"/>
      <c r="G90" s="44"/>
      <c r="H90" s="44"/>
      <c r="I90" s="44"/>
      <c r="J90" s="44"/>
      <c r="K90" s="44"/>
      <c r="L90" s="44"/>
      <c r="M90" s="51"/>
      <c r="N90" s="52"/>
      <c r="O90" s="52"/>
      <c r="P90" s="53"/>
      <c r="Q90" s="58"/>
      <c r="R90" s="44"/>
      <c r="S90" s="53"/>
      <c r="T90" s="58"/>
      <c r="U90" s="58"/>
      <c r="V90" s="44"/>
      <c r="W90" s="44"/>
      <c r="X90" s="44"/>
      <c r="Y90" s="44"/>
      <c r="Z90" s="44"/>
      <c r="AA90" s="44"/>
      <c r="AB90" s="44"/>
    </row>
    <row r="91" spans="1:30" s="35" customFormat="1" hidden="1">
      <c r="A91" s="44"/>
      <c r="B91" s="44"/>
      <c r="C91" s="44"/>
      <c r="D91" s="44"/>
      <c r="E91" s="44"/>
      <c r="F91" s="44"/>
      <c r="G91" s="44"/>
      <c r="H91" s="44"/>
      <c r="I91" s="44"/>
      <c r="J91" s="44"/>
      <c r="K91" s="44"/>
      <c r="L91" s="44"/>
      <c r="M91" s="51"/>
      <c r="N91" s="52"/>
      <c r="O91" s="52"/>
      <c r="P91" s="53"/>
      <c r="Q91" s="58"/>
      <c r="R91" s="44"/>
      <c r="S91" s="53"/>
      <c r="T91" s="58"/>
      <c r="U91" s="58"/>
      <c r="V91" s="44"/>
      <c r="W91" s="44"/>
      <c r="X91" s="44"/>
      <c r="Y91" s="44"/>
      <c r="Z91" s="44"/>
      <c r="AA91" s="44"/>
      <c r="AB91" s="44"/>
    </row>
    <row r="92" spans="1:30" s="34" customFormat="1" ht="70" hidden="1">
      <c r="A92" s="43">
        <v>5</v>
      </c>
      <c r="B92" s="43" t="str">
        <f>B70</f>
        <v>成都海科工控设备有限公司</v>
      </c>
      <c r="C92" s="43" t="str">
        <f t="shared" ref="C92:G92" si="11">C70</f>
        <v>成都市双流区行政审批局</v>
      </c>
      <c r="D92" s="43" t="str">
        <f t="shared" si="11"/>
        <v>91510122MA61TJJ85E</v>
      </c>
      <c r="E92" s="43" t="str">
        <f t="shared" si="11"/>
        <v>其他有限责任公司</v>
      </c>
      <c r="F92" s="43" t="str">
        <f t="shared" si="11"/>
        <v>国家税务总局成都市双流区税务局</v>
      </c>
      <c r="G92" s="43" t="str">
        <f t="shared" si="11"/>
        <v>收款账号：402249509100012602</v>
      </c>
      <c r="H92" s="43"/>
      <c r="I92" s="43"/>
      <c r="J92" s="43"/>
      <c r="K92" s="43"/>
      <c r="L92" s="43"/>
      <c r="M92" s="49"/>
      <c r="N92" s="50"/>
      <c r="O92" s="50"/>
      <c r="P92" s="43"/>
      <c r="Q92" s="55">
        <f>SUM(Q93:Q113)</f>
        <v>0</v>
      </c>
      <c r="R92" s="43"/>
      <c r="S92" s="43"/>
      <c r="T92" s="43">
        <f>SUM(T93:T113)</f>
        <v>0</v>
      </c>
      <c r="U92" s="43"/>
      <c r="V92" s="50"/>
      <c r="W92" s="43"/>
      <c r="X92" s="57">
        <f>IFERROR(INDEX([3]支持标准!$F$3:$F$5,MATCH('153'!H92,[3]支持标准!$B$3:$B$5)),0)</f>
        <v>0</v>
      </c>
      <c r="Y92" s="43">
        <f>ROUNDUP(IF((O92-N92+1)*K92*X92/365&gt;R92,R92,(O92-N92+1)*K92*X92/365),2)</f>
        <v>0</v>
      </c>
      <c r="Z92" s="43"/>
      <c r="AA92" s="43"/>
      <c r="AB92" s="43"/>
      <c r="AD92" s="61">
        <f>(O92-N92+1)*K92*X92/365</f>
        <v>0</v>
      </c>
    </row>
    <row r="93" spans="1:30" s="35" customFormat="1" hidden="1">
      <c r="A93" s="44"/>
      <c r="B93" s="44"/>
      <c r="C93" s="44"/>
      <c r="D93" s="44"/>
      <c r="E93" s="44"/>
      <c r="F93" s="44"/>
      <c r="G93" s="44"/>
      <c r="H93" s="44"/>
      <c r="I93" s="44"/>
      <c r="J93" s="44"/>
      <c r="K93" s="44"/>
      <c r="L93" s="44"/>
      <c r="M93" s="51"/>
      <c r="N93" s="52"/>
      <c r="O93" s="52"/>
      <c r="P93" s="53"/>
      <c r="Q93" s="58"/>
      <c r="R93" s="44"/>
      <c r="S93" s="53"/>
      <c r="T93" s="58"/>
      <c r="U93" s="58"/>
      <c r="V93" s="52"/>
      <c r="W93" s="44"/>
      <c r="X93" s="44"/>
      <c r="Y93" s="44"/>
      <c r="Z93" s="44"/>
      <c r="AA93" s="44"/>
      <c r="AB93" s="44"/>
    </row>
    <row r="94" spans="1:30" s="35" customFormat="1" hidden="1">
      <c r="A94" s="44"/>
      <c r="B94" s="44"/>
      <c r="C94" s="44"/>
      <c r="D94" s="44"/>
      <c r="E94" s="44"/>
      <c r="F94" s="44"/>
      <c r="G94" s="44"/>
      <c r="H94" s="44"/>
      <c r="I94" s="44"/>
      <c r="J94" s="44"/>
      <c r="K94" s="44"/>
      <c r="L94" s="44"/>
      <c r="M94" s="51"/>
      <c r="N94" s="52"/>
      <c r="O94" s="52"/>
      <c r="P94" s="53"/>
      <c r="Q94" s="58"/>
      <c r="R94" s="44"/>
      <c r="S94" s="53"/>
      <c r="T94" s="58"/>
      <c r="U94" s="58"/>
      <c r="V94" s="44"/>
      <c r="W94" s="44"/>
      <c r="X94" s="44"/>
      <c r="Y94" s="44"/>
      <c r="Z94" s="44"/>
      <c r="AA94" s="44"/>
      <c r="AB94" s="44"/>
    </row>
    <row r="95" spans="1:30" s="35" customFormat="1" hidden="1">
      <c r="A95" s="44"/>
      <c r="B95" s="44"/>
      <c r="C95" s="44"/>
      <c r="D95" s="44"/>
      <c r="E95" s="44"/>
      <c r="F95" s="44"/>
      <c r="G95" s="44"/>
      <c r="H95" s="44"/>
      <c r="I95" s="44"/>
      <c r="J95" s="44"/>
      <c r="K95" s="44"/>
      <c r="L95" s="44"/>
      <c r="M95" s="51"/>
      <c r="N95" s="52"/>
      <c r="O95" s="52"/>
      <c r="P95" s="53"/>
      <c r="Q95" s="58"/>
      <c r="R95" s="44"/>
      <c r="S95" s="53"/>
      <c r="T95" s="58"/>
      <c r="U95" s="58"/>
      <c r="V95" s="44"/>
      <c r="W95" s="44"/>
      <c r="X95" s="44"/>
      <c r="Y95" s="44"/>
      <c r="Z95" s="44"/>
      <c r="AA95" s="44"/>
      <c r="AB95" s="44"/>
    </row>
    <row r="96" spans="1:30" s="35" customFormat="1" hidden="1">
      <c r="A96" s="44"/>
      <c r="B96" s="44"/>
      <c r="C96" s="44"/>
      <c r="D96" s="44"/>
      <c r="E96" s="44"/>
      <c r="F96" s="44"/>
      <c r="G96" s="44"/>
      <c r="H96" s="44"/>
      <c r="I96" s="44"/>
      <c r="J96" s="44"/>
      <c r="K96" s="44"/>
      <c r="L96" s="44"/>
      <c r="M96" s="51"/>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200</v>
      </c>
      <c r="L114" s="43"/>
      <c r="M114" s="49"/>
      <c r="N114" s="50"/>
      <c r="O114" s="50"/>
      <c r="P114" s="43"/>
      <c r="Q114" s="43"/>
      <c r="R114" s="43">
        <f>R92+R70+R48+R26++R4</f>
        <v>0.92</v>
      </c>
      <c r="S114" s="43"/>
      <c r="T114" s="43"/>
      <c r="U114" s="43"/>
      <c r="V114" s="43"/>
      <c r="W114" s="43"/>
      <c r="X114" s="43"/>
      <c r="Y114" s="43">
        <f>Y92+Y70+Y48+Y26++Y4</f>
        <v>0.91</v>
      </c>
      <c r="Z114" s="43"/>
      <c r="AA114" s="43"/>
      <c r="AB114" s="43"/>
    </row>
    <row r="115" spans="1:28">
      <c r="I115" s="36" t="s">
        <v>49</v>
      </c>
      <c r="K115" s="36">
        <f>IF(K114&gt;3000,K116,K114)</f>
        <v>200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filterMode="1"/>
  <dimension ref="A1:AD116"/>
  <sheetViews>
    <sheetView topLeftCell="H1" zoomScale="77" zoomScaleNormal="77" workbookViewId="0">
      <pane ySplit="3" topLeftCell="A4" activePane="bottomLeft" state="frozen"/>
      <selection pane="bottomLeft" activeCell="R26" sqref="R26:AB26"/>
    </sheetView>
  </sheetViews>
  <sheetFormatPr defaultColWidth="8.58203125" defaultRowHeight="14"/>
  <cols>
    <col min="1" max="6" width="8.58203125" style="36"/>
    <col min="7" max="7" width="9" style="36" customWidth="1"/>
    <col min="8" max="12" width="8.58203125" style="36"/>
    <col min="13" max="13" width="12.58203125" style="37" customWidth="1"/>
    <col min="14" max="14" width="10.75" style="38" customWidth="1"/>
    <col min="15" max="15" width="11.08203125" style="38" customWidth="1"/>
    <col min="16" max="16" width="9.83203125" style="36" customWidth="1"/>
    <col min="17" max="18" width="8.58203125" style="36"/>
    <col min="19" max="19" width="9.83203125" style="36" customWidth="1"/>
    <col min="20" max="21" width="8.58203125" style="36"/>
    <col min="22" max="22" width="11.5" style="36" customWidth="1"/>
    <col min="23" max="24" width="8.58203125" style="36"/>
    <col min="25" max="25" width="11.75" style="36" customWidth="1"/>
    <col min="26" max="28" width="8.58203125" style="36"/>
    <col min="29" max="29" width="8.58203125" style="36" hidden="1" customWidth="1"/>
    <col min="30" max="30" width="11.75" style="36" customWidth="1"/>
    <col min="31" max="16384" width="8.58203125" style="36"/>
  </cols>
  <sheetData>
    <row r="1" spans="1:30" ht="25">
      <c r="B1" s="163" t="str">
        <f>B4&amp;AC1</f>
        <v>成都千嘉科技股份有限公司审计明细表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6" t="s">
        <v>16</v>
      </c>
      <c r="N3" s="47" t="s">
        <v>17</v>
      </c>
      <c r="O3" s="47" t="s">
        <v>18</v>
      </c>
      <c r="P3" s="48"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54">
      <c r="A4" s="43">
        <v>1</v>
      </c>
      <c r="B4" s="43" t="s">
        <v>643</v>
      </c>
      <c r="C4" s="43" t="s">
        <v>52</v>
      </c>
      <c r="D4" s="43" t="s">
        <v>1669</v>
      </c>
      <c r="E4" s="43" t="s">
        <v>380</v>
      </c>
      <c r="F4" s="43" t="s">
        <v>787</v>
      </c>
      <c r="G4" s="43" t="s">
        <v>1670</v>
      </c>
      <c r="H4" s="43" t="s">
        <v>65</v>
      </c>
      <c r="I4" s="43" t="s">
        <v>1648</v>
      </c>
      <c r="J4" s="43" t="s">
        <v>168</v>
      </c>
      <c r="K4" s="43">
        <v>1000</v>
      </c>
      <c r="L4" s="43" t="s">
        <v>1671</v>
      </c>
      <c r="M4" s="49" t="s">
        <v>1672</v>
      </c>
      <c r="N4" s="50">
        <v>45042</v>
      </c>
      <c r="O4" s="50">
        <v>45291</v>
      </c>
      <c r="P4" s="43">
        <f>P13-N4</f>
        <v>270</v>
      </c>
      <c r="Q4" s="55">
        <v>2.42</v>
      </c>
      <c r="R4" s="55">
        <v>10.27</v>
      </c>
      <c r="S4" s="43"/>
      <c r="T4" s="55">
        <f>SUM(T5:T25)</f>
        <v>20.98</v>
      </c>
      <c r="U4" s="56">
        <v>2.8000000000000001E-2</v>
      </c>
      <c r="V4" s="50"/>
      <c r="W4" s="43" t="s">
        <v>42</v>
      </c>
      <c r="X4" s="57">
        <f>IFERROR(INDEX([2]支持标准!$F$3:$F$5,MATCH('[2]62'!H4,[2]支持标准!$B$3:$B$5)),0)</f>
        <v>1.4999999999999999E-2</v>
      </c>
      <c r="Y4" s="43">
        <f>ROUNDDOWN(IF((O4-N4+1)*K4*X4/365&gt;R4,R4,(O4-N4+1)*K4*X4/365),2)</f>
        <v>10.27</v>
      </c>
      <c r="Z4" s="55">
        <f>R4-Y4</f>
        <v>0</v>
      </c>
      <c r="AA4" s="55"/>
      <c r="AB4" s="43" t="s">
        <v>61</v>
      </c>
      <c r="AD4" s="61">
        <f>(O4-N4+1)*K4*X4/365</f>
        <v>10.273999999999999</v>
      </c>
    </row>
    <row r="5" spans="1:30" s="35" customFormat="1" ht="56" hidden="1">
      <c r="A5" s="44"/>
      <c r="B5" s="44"/>
      <c r="C5" s="44"/>
      <c r="D5" s="44"/>
      <c r="E5" s="44"/>
      <c r="F5" s="44"/>
      <c r="G5" s="44"/>
      <c r="H5" s="44"/>
      <c r="I5" s="44"/>
      <c r="J5" s="44"/>
      <c r="K5" s="44"/>
      <c r="L5" s="44"/>
      <c r="M5" s="70" t="s">
        <v>1673</v>
      </c>
      <c r="N5" s="52"/>
      <c r="O5" s="50">
        <v>45407</v>
      </c>
      <c r="P5" s="53">
        <v>45067</v>
      </c>
      <c r="Q5" s="58">
        <v>1.94</v>
      </c>
      <c r="R5" s="44"/>
      <c r="S5" s="53">
        <f t="shared" ref="S5:S13" si="0">P5</f>
        <v>45067</v>
      </c>
      <c r="T5" s="58">
        <f>(S5-N4)/360*$U$4*$K$4</f>
        <v>1.94</v>
      </c>
      <c r="U5" s="58">
        <f t="shared" ref="U5:U13" si="1">T5-Q5</f>
        <v>0</v>
      </c>
      <c r="V5" s="52"/>
      <c r="W5" s="44"/>
      <c r="X5" s="44"/>
      <c r="Y5" s="44"/>
      <c r="Z5" s="44"/>
      <c r="AA5" s="44"/>
      <c r="AB5" s="44"/>
    </row>
    <row r="6" spans="1:30" s="35" customFormat="1" hidden="1">
      <c r="A6" s="44"/>
      <c r="B6" s="44"/>
      <c r="C6" s="44"/>
      <c r="D6" s="44"/>
      <c r="E6" s="44"/>
      <c r="F6" s="44"/>
      <c r="G6" s="44"/>
      <c r="H6" s="44"/>
      <c r="I6" s="44"/>
      <c r="J6" s="44"/>
      <c r="K6" s="44"/>
      <c r="L6" s="44"/>
      <c r="M6" s="51"/>
      <c r="N6" s="52"/>
      <c r="O6" s="52"/>
      <c r="P6" s="53">
        <v>45098</v>
      </c>
      <c r="Q6" s="58">
        <v>2.41</v>
      </c>
      <c r="R6" s="44"/>
      <c r="S6" s="53">
        <f t="shared" si="0"/>
        <v>45098</v>
      </c>
      <c r="T6" s="58">
        <f t="shared" ref="T6:T13" si="2">(S6-S5)*$K$4*$U$4/360</f>
        <v>2.41</v>
      </c>
      <c r="U6" s="58">
        <f t="shared" si="1"/>
        <v>0</v>
      </c>
      <c r="V6" s="44"/>
      <c r="W6" s="44"/>
      <c r="X6" s="44"/>
      <c r="Y6" s="44"/>
      <c r="Z6" s="44"/>
      <c r="AA6" s="44"/>
      <c r="AB6" s="44"/>
    </row>
    <row r="7" spans="1:30" s="35" customFormat="1" hidden="1">
      <c r="A7" s="44"/>
      <c r="B7" s="44"/>
      <c r="C7" s="44"/>
      <c r="D7" s="44"/>
      <c r="E7" s="44"/>
      <c r="F7" s="44"/>
      <c r="G7" s="44"/>
      <c r="H7" s="44"/>
      <c r="I7" s="44"/>
      <c r="J7" s="44"/>
      <c r="K7" s="44"/>
      <c r="L7" s="44"/>
      <c r="M7" s="51"/>
      <c r="N7" s="52"/>
      <c r="O7" s="52"/>
      <c r="P7" s="53">
        <v>45128</v>
      </c>
      <c r="Q7" s="58">
        <v>2.33</v>
      </c>
      <c r="R7" s="44"/>
      <c r="S7" s="53">
        <f t="shared" si="0"/>
        <v>45128</v>
      </c>
      <c r="T7" s="58">
        <f t="shared" si="2"/>
        <v>2.33</v>
      </c>
      <c r="U7" s="58">
        <f t="shared" si="1"/>
        <v>0</v>
      </c>
      <c r="V7" s="44"/>
      <c r="W7" s="44"/>
      <c r="X7" s="44"/>
      <c r="Y7" s="44"/>
      <c r="Z7" s="44"/>
      <c r="AA7" s="44"/>
      <c r="AB7" s="44"/>
    </row>
    <row r="8" spans="1:30" s="35" customFormat="1" hidden="1">
      <c r="A8" s="44"/>
      <c r="B8" s="44"/>
      <c r="C8" s="44"/>
      <c r="D8" s="44"/>
      <c r="E8" s="44"/>
      <c r="F8" s="44"/>
      <c r="G8" s="44"/>
      <c r="H8" s="44"/>
      <c r="I8" s="44"/>
      <c r="J8" s="44"/>
      <c r="K8" s="44"/>
      <c r="L8" s="44"/>
      <c r="M8" s="51"/>
      <c r="N8" s="52"/>
      <c r="O8" s="52"/>
      <c r="P8" s="53">
        <v>45159</v>
      </c>
      <c r="Q8" s="58">
        <v>2.41</v>
      </c>
      <c r="R8" s="44"/>
      <c r="S8" s="53">
        <f t="shared" si="0"/>
        <v>45159</v>
      </c>
      <c r="T8" s="58">
        <f t="shared" si="2"/>
        <v>2.41</v>
      </c>
      <c r="U8" s="58">
        <f t="shared" si="1"/>
        <v>0</v>
      </c>
      <c r="V8" s="44"/>
      <c r="W8" s="44"/>
      <c r="X8" s="44"/>
      <c r="Y8" s="44"/>
      <c r="Z8" s="44"/>
      <c r="AA8" s="44"/>
      <c r="AB8" s="44"/>
    </row>
    <row r="9" spans="1:30" s="35" customFormat="1" hidden="1">
      <c r="A9" s="44"/>
      <c r="B9" s="44"/>
      <c r="C9" s="44"/>
      <c r="D9" s="44"/>
      <c r="E9" s="44"/>
      <c r="F9" s="44"/>
      <c r="G9" s="44"/>
      <c r="H9" s="44"/>
      <c r="I9" s="44"/>
      <c r="J9" s="44"/>
      <c r="K9" s="44"/>
      <c r="L9" s="44"/>
      <c r="M9" s="51"/>
      <c r="N9" s="52"/>
      <c r="O9" s="52"/>
      <c r="P9" s="53">
        <v>45190</v>
      </c>
      <c r="Q9" s="58">
        <v>2.41</v>
      </c>
      <c r="R9" s="44"/>
      <c r="S9" s="53">
        <f t="shared" si="0"/>
        <v>45190</v>
      </c>
      <c r="T9" s="58">
        <f t="shared" si="2"/>
        <v>2.41</v>
      </c>
      <c r="U9" s="58">
        <f t="shared" si="1"/>
        <v>0</v>
      </c>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53">
        <v>45220</v>
      </c>
      <c r="Q10" s="58">
        <v>2.33</v>
      </c>
      <c r="R10" s="44"/>
      <c r="S10" s="53">
        <f t="shared" si="0"/>
        <v>45220</v>
      </c>
      <c r="T10" s="58">
        <f t="shared" si="2"/>
        <v>2.33</v>
      </c>
      <c r="U10" s="58">
        <f t="shared" si="1"/>
        <v>0</v>
      </c>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53">
        <v>45251</v>
      </c>
      <c r="Q11" s="58">
        <v>2.41</v>
      </c>
      <c r="R11" s="44"/>
      <c r="S11" s="53">
        <f t="shared" si="0"/>
        <v>45251</v>
      </c>
      <c r="T11" s="58">
        <f t="shared" si="2"/>
        <v>2.41</v>
      </c>
      <c r="U11" s="58">
        <f t="shared" si="1"/>
        <v>0</v>
      </c>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53">
        <v>45281</v>
      </c>
      <c r="Q12" s="58">
        <v>2.33</v>
      </c>
      <c r="R12" s="44"/>
      <c r="S12" s="53">
        <f t="shared" si="0"/>
        <v>45281</v>
      </c>
      <c r="T12" s="58">
        <f t="shared" si="2"/>
        <v>2.33</v>
      </c>
      <c r="U12" s="58">
        <f t="shared" si="1"/>
        <v>0</v>
      </c>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53">
        <v>45312</v>
      </c>
      <c r="Q13" s="58">
        <v>2.41</v>
      </c>
      <c r="R13" s="44"/>
      <c r="S13" s="53">
        <f t="shared" si="0"/>
        <v>45312</v>
      </c>
      <c r="T13" s="58">
        <f t="shared" si="2"/>
        <v>2.41</v>
      </c>
      <c r="U13" s="58">
        <f t="shared" si="1"/>
        <v>0</v>
      </c>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53"/>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53"/>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53"/>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51"/>
      <c r="N17" s="52"/>
      <c r="O17" s="52"/>
      <c r="P17" s="53"/>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53"/>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53"/>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53"/>
      <c r="Q25" s="58"/>
      <c r="R25" s="44"/>
      <c r="S25" s="53"/>
      <c r="T25" s="58"/>
      <c r="U25" s="58"/>
      <c r="V25" s="44"/>
      <c r="W25" s="44"/>
      <c r="X25" s="44"/>
      <c r="Y25" s="44"/>
      <c r="Z25" s="44"/>
      <c r="AA25" s="44"/>
      <c r="AB25" s="44"/>
    </row>
    <row r="26" spans="1:30" s="34" customFormat="1" ht="154">
      <c r="A26" s="43">
        <v>2</v>
      </c>
      <c r="B26" s="43" t="str">
        <f t="shared" ref="B26:G26" si="3">B4</f>
        <v>成都千嘉科技股份有限公司</v>
      </c>
      <c r="C26" s="43" t="str">
        <f t="shared" si="3"/>
        <v>成都市市场监督管理局</v>
      </c>
      <c r="D26" s="43" t="str">
        <f t="shared" si="3"/>
        <v>915101227323595889</v>
      </c>
      <c r="E26" s="43" t="str">
        <f t="shared" si="3"/>
        <v>其他股份有限公司(非上市)</v>
      </c>
      <c r="F26" s="43" t="str">
        <f t="shared" si="3"/>
        <v>国家税务总局成都市双流区税务局</v>
      </c>
      <c r="G26" s="43" t="str">
        <f t="shared" si="3"/>
        <v>收款账号：4402249019100200914
开户行：中国工商银行股份有限公司成都双流支行</v>
      </c>
      <c r="H26" s="43" t="s">
        <v>818</v>
      </c>
      <c r="I26" s="43" t="s">
        <v>1648</v>
      </c>
      <c r="J26" s="43" t="s">
        <v>168</v>
      </c>
      <c r="K26" s="43">
        <v>2000</v>
      </c>
      <c r="L26" s="43" t="s">
        <v>1671</v>
      </c>
      <c r="M26" s="49" t="s">
        <v>1674</v>
      </c>
      <c r="N26" s="50">
        <v>45103</v>
      </c>
      <c r="O26" s="50">
        <v>45291</v>
      </c>
      <c r="P26" s="43">
        <f>P33-N26</f>
        <v>209</v>
      </c>
      <c r="Q26" s="55">
        <f>SUM(Q27:Q47)</f>
        <v>29.05</v>
      </c>
      <c r="R26" s="43">
        <v>20.71</v>
      </c>
      <c r="S26" s="43"/>
      <c r="T26" s="55">
        <f>SUM(T27:T47)</f>
        <v>29.05</v>
      </c>
      <c r="U26" s="56">
        <v>2.5000000000000001E-2</v>
      </c>
      <c r="V26" s="50"/>
      <c r="W26" s="43" t="s">
        <v>42</v>
      </c>
      <c r="X26" s="57">
        <v>0.02</v>
      </c>
      <c r="Y26" s="43">
        <f>ROUNDDOWN(IF((O26-N26+1)*K26*X26/365&gt;R26,R26,(O26-N26+1)*K26*X26/365),2)</f>
        <v>20.71</v>
      </c>
      <c r="Z26" s="43">
        <f>R26-Y26</f>
        <v>0</v>
      </c>
      <c r="AA26" s="43"/>
      <c r="AB26" s="43" t="s">
        <v>61</v>
      </c>
      <c r="AD26" s="34">
        <f>(O26-N26+1)*K26*X26/365</f>
        <v>20.712328767123299</v>
      </c>
    </row>
    <row r="27" spans="1:30" s="35" customFormat="1" ht="56">
      <c r="A27" s="44"/>
      <c r="B27" s="44"/>
      <c r="C27" s="44"/>
      <c r="D27" s="44"/>
      <c r="E27" s="44"/>
      <c r="F27" s="44"/>
      <c r="G27" s="44"/>
      <c r="H27" s="44"/>
      <c r="I27" s="44"/>
      <c r="J27" s="44"/>
      <c r="K27" s="44"/>
      <c r="L27" s="44"/>
      <c r="M27" s="70" t="s">
        <v>1675</v>
      </c>
      <c r="N27" s="52"/>
      <c r="O27" s="50">
        <v>45465</v>
      </c>
      <c r="P27" s="53">
        <v>45128</v>
      </c>
      <c r="Q27" s="58">
        <v>3.47</v>
      </c>
      <c r="R27" s="44"/>
      <c r="S27" s="53">
        <f t="shared" ref="S27:S33" si="4">P27</f>
        <v>45128</v>
      </c>
      <c r="T27" s="58">
        <f>(S27-N26)/360*$U$26*$K$26</f>
        <v>3.47</v>
      </c>
      <c r="U27" s="58">
        <f t="shared" ref="U27:U33" si="5">T27-Q27</f>
        <v>0</v>
      </c>
      <c r="V27" s="52"/>
      <c r="W27" s="44"/>
      <c r="X27" s="44"/>
      <c r="Y27" s="62"/>
      <c r="Z27" s="44"/>
      <c r="AA27" s="44"/>
      <c r="AB27" s="44"/>
    </row>
    <row r="28" spans="1:30" s="35" customFormat="1">
      <c r="A28" s="44"/>
      <c r="B28" s="44"/>
      <c r="C28" s="44"/>
      <c r="D28" s="44"/>
      <c r="E28" s="44"/>
      <c r="F28" s="44"/>
      <c r="G28" s="44"/>
      <c r="H28" s="44"/>
      <c r="I28" s="44"/>
      <c r="J28" s="44"/>
      <c r="K28" s="44"/>
      <c r="L28" s="44"/>
      <c r="M28" s="51"/>
      <c r="N28" s="52"/>
      <c r="O28" s="52"/>
      <c r="P28" s="53">
        <v>45159</v>
      </c>
      <c r="Q28" s="58">
        <v>4.3099999999999996</v>
      </c>
      <c r="R28" s="44"/>
      <c r="S28" s="53">
        <f t="shared" si="4"/>
        <v>45159</v>
      </c>
      <c r="T28" s="58">
        <f t="shared" ref="T28:T33" si="6">(S28-S27)*$U$26*$K$26/360</f>
        <v>4.3099999999999996</v>
      </c>
      <c r="U28" s="58">
        <f t="shared" si="5"/>
        <v>0</v>
      </c>
      <c r="V28" s="44"/>
      <c r="W28" s="44"/>
      <c r="X28" s="44"/>
      <c r="Y28" s="62"/>
      <c r="Z28" s="44"/>
      <c r="AA28" s="44"/>
      <c r="AB28" s="44"/>
    </row>
    <row r="29" spans="1:30" s="35" customFormat="1">
      <c r="A29" s="44"/>
      <c r="B29" s="44"/>
      <c r="C29" s="44"/>
      <c r="D29" s="44"/>
      <c r="E29" s="44"/>
      <c r="F29" s="44"/>
      <c r="G29" s="44"/>
      <c r="H29" s="44"/>
      <c r="I29" s="44"/>
      <c r="J29" s="44"/>
      <c r="K29" s="44"/>
      <c r="L29" s="44"/>
      <c r="M29" s="51"/>
      <c r="N29" s="52"/>
      <c r="O29" s="52"/>
      <c r="P29" s="53">
        <v>45190</v>
      </c>
      <c r="Q29" s="58">
        <v>4.3099999999999996</v>
      </c>
      <c r="R29" s="44"/>
      <c r="S29" s="53">
        <f t="shared" si="4"/>
        <v>45190</v>
      </c>
      <c r="T29" s="58">
        <f t="shared" si="6"/>
        <v>4.3099999999999996</v>
      </c>
      <c r="U29" s="58">
        <f t="shared" si="5"/>
        <v>0</v>
      </c>
      <c r="V29" s="44"/>
      <c r="W29" s="44"/>
      <c r="X29" s="44"/>
      <c r="Y29" s="44"/>
      <c r="Z29" s="44"/>
      <c r="AA29" s="44"/>
      <c r="AB29" s="44"/>
    </row>
    <row r="30" spans="1:30" s="35" customFormat="1">
      <c r="A30" s="44"/>
      <c r="B30" s="44"/>
      <c r="C30" s="44"/>
      <c r="D30" s="44"/>
      <c r="E30" s="44"/>
      <c r="F30" s="44"/>
      <c r="G30" s="44"/>
      <c r="H30" s="44"/>
      <c r="I30" s="44"/>
      <c r="J30" s="44"/>
      <c r="K30" s="44"/>
      <c r="L30" s="44"/>
      <c r="M30" s="51"/>
      <c r="N30" s="52"/>
      <c r="O30" s="52"/>
      <c r="P30" s="53">
        <v>45220</v>
      </c>
      <c r="Q30" s="58">
        <v>4.17</v>
      </c>
      <c r="R30" s="44"/>
      <c r="S30" s="53">
        <f t="shared" si="4"/>
        <v>45220</v>
      </c>
      <c r="T30" s="58">
        <f t="shared" si="6"/>
        <v>4.17</v>
      </c>
      <c r="U30" s="58">
        <f t="shared" si="5"/>
        <v>0</v>
      </c>
      <c r="V30" s="44"/>
      <c r="W30" s="44"/>
      <c r="X30" s="44"/>
      <c r="Y30" s="44"/>
      <c r="Z30" s="44"/>
      <c r="AA30" s="44"/>
      <c r="AB30" s="44"/>
    </row>
    <row r="31" spans="1:30" s="35" customFormat="1">
      <c r="A31" s="44"/>
      <c r="B31" s="44"/>
      <c r="C31" s="44"/>
      <c r="D31" s="44"/>
      <c r="E31" s="44"/>
      <c r="F31" s="44"/>
      <c r="G31" s="44"/>
      <c r="H31" s="44"/>
      <c r="I31" s="44"/>
      <c r="J31" s="44"/>
      <c r="K31" s="44"/>
      <c r="L31" s="44"/>
      <c r="M31" s="51"/>
      <c r="N31" s="52"/>
      <c r="O31" s="52"/>
      <c r="P31" s="53">
        <v>45251</v>
      </c>
      <c r="Q31" s="58">
        <v>4.3099999999999996</v>
      </c>
      <c r="R31" s="44"/>
      <c r="S31" s="53">
        <f t="shared" si="4"/>
        <v>45251</v>
      </c>
      <c r="T31" s="58">
        <f t="shared" si="6"/>
        <v>4.3099999999999996</v>
      </c>
      <c r="U31" s="58">
        <f t="shared" si="5"/>
        <v>0</v>
      </c>
      <c r="V31" s="44"/>
      <c r="W31" s="44"/>
      <c r="X31" s="44"/>
      <c r="Y31" s="44"/>
      <c r="Z31" s="44"/>
      <c r="AA31" s="44"/>
      <c r="AB31" s="44"/>
    </row>
    <row r="32" spans="1:30" s="35" customFormat="1">
      <c r="A32" s="44"/>
      <c r="B32" s="44"/>
      <c r="C32" s="44"/>
      <c r="D32" s="44"/>
      <c r="E32" s="44"/>
      <c r="F32" s="44"/>
      <c r="G32" s="44"/>
      <c r="H32" s="44"/>
      <c r="I32" s="44"/>
      <c r="J32" s="44"/>
      <c r="K32" s="44"/>
      <c r="L32" s="44"/>
      <c r="M32" s="51"/>
      <c r="N32" s="52"/>
      <c r="O32" s="52"/>
      <c r="P32" s="53">
        <v>45281</v>
      </c>
      <c r="Q32" s="58">
        <v>4.17</v>
      </c>
      <c r="R32" s="44"/>
      <c r="S32" s="53">
        <f t="shared" si="4"/>
        <v>45281</v>
      </c>
      <c r="T32" s="58">
        <f t="shared" si="6"/>
        <v>4.17</v>
      </c>
      <c r="U32" s="58">
        <f t="shared" si="5"/>
        <v>0</v>
      </c>
      <c r="V32" s="44"/>
      <c r="W32" s="44"/>
      <c r="X32" s="44"/>
      <c r="Y32" s="44"/>
      <c r="Z32" s="44"/>
      <c r="AA32" s="44"/>
      <c r="AB32" s="44"/>
    </row>
    <row r="33" spans="1:28" s="35" customFormat="1">
      <c r="A33" s="44"/>
      <c r="B33" s="44"/>
      <c r="C33" s="44"/>
      <c r="D33" s="44"/>
      <c r="E33" s="44"/>
      <c r="F33" s="44"/>
      <c r="G33" s="44"/>
      <c r="H33" s="44"/>
      <c r="I33" s="44"/>
      <c r="J33" s="44"/>
      <c r="K33" s="44"/>
      <c r="L33" s="44"/>
      <c r="M33" s="51"/>
      <c r="N33" s="52"/>
      <c r="O33" s="52"/>
      <c r="P33" s="53">
        <v>45312</v>
      </c>
      <c r="Q33" s="58">
        <v>4.3099999999999996</v>
      </c>
      <c r="R33" s="44"/>
      <c r="S33" s="53">
        <f t="shared" si="4"/>
        <v>45312</v>
      </c>
      <c r="T33" s="58">
        <f t="shared" si="6"/>
        <v>4.3099999999999996</v>
      </c>
      <c r="U33" s="58">
        <f t="shared" si="5"/>
        <v>0</v>
      </c>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53"/>
      <c r="Q47" s="58"/>
      <c r="R47" s="44"/>
      <c r="S47" s="53"/>
      <c r="T47" s="58"/>
      <c r="U47" s="58"/>
      <c r="V47" s="44"/>
      <c r="W47" s="44"/>
      <c r="X47" s="44"/>
      <c r="Y47" s="44"/>
      <c r="Z47" s="44"/>
      <c r="AA47" s="44"/>
      <c r="AB47" s="44"/>
    </row>
    <row r="48" spans="1:28" s="34" customFormat="1" ht="154" hidden="1">
      <c r="A48" s="43">
        <v>3</v>
      </c>
      <c r="B48" s="43" t="str">
        <f t="shared" ref="B48:G48" si="7">B26</f>
        <v>成都千嘉科技股份有限公司</v>
      </c>
      <c r="C48" s="43" t="str">
        <f t="shared" si="7"/>
        <v>成都市市场监督管理局</v>
      </c>
      <c r="D48" s="43" t="str">
        <f t="shared" si="7"/>
        <v>915101227323595889</v>
      </c>
      <c r="E48" s="43" t="str">
        <f t="shared" si="7"/>
        <v>其他股份有限公司(非上市)</v>
      </c>
      <c r="F48" s="43" t="str">
        <f t="shared" si="7"/>
        <v>国家税务总局成都市双流区税务局</v>
      </c>
      <c r="G48" s="43" t="str">
        <f t="shared" si="7"/>
        <v>收款账号：4402249019100200914
开户行：中国工商银行股份有限公司成都双流支行</v>
      </c>
      <c r="H48" s="43" t="s">
        <v>65</v>
      </c>
      <c r="I48" s="43" t="s">
        <v>57</v>
      </c>
      <c r="J48" s="43" t="s">
        <v>66</v>
      </c>
      <c r="K48" s="43"/>
      <c r="L48" s="43"/>
      <c r="M48" s="49"/>
      <c r="N48" s="50"/>
      <c r="O48" s="50"/>
      <c r="P48" s="43"/>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53"/>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53"/>
      <c r="Q69" s="58"/>
      <c r="R69" s="44"/>
      <c r="S69" s="53"/>
      <c r="T69" s="58"/>
      <c r="U69" s="58"/>
      <c r="V69" s="44"/>
      <c r="W69" s="44"/>
      <c r="X69" s="44"/>
      <c r="Y69" s="44"/>
      <c r="Z69" s="44"/>
      <c r="AA69" s="44"/>
      <c r="AB69" s="44"/>
    </row>
    <row r="70" spans="1:28" s="34" customFormat="1" ht="154" hidden="1">
      <c r="A70" s="43">
        <v>4</v>
      </c>
      <c r="B70" s="43" t="str">
        <f t="shared" ref="B70:G70" si="8">B48</f>
        <v>成都千嘉科技股份有限公司</v>
      </c>
      <c r="C70" s="43" t="str">
        <f t="shared" si="8"/>
        <v>成都市市场监督管理局</v>
      </c>
      <c r="D70" s="43" t="str">
        <f t="shared" si="8"/>
        <v>915101227323595889</v>
      </c>
      <c r="E70" s="43" t="str">
        <f t="shared" si="8"/>
        <v>其他股份有限公司(非上市)</v>
      </c>
      <c r="F70" s="43" t="str">
        <f t="shared" si="8"/>
        <v>国家税务总局成都市双流区税务局</v>
      </c>
      <c r="G70" s="43" t="str">
        <f t="shared" si="8"/>
        <v>收款账号：4402249019100200914
开户行：中国工商银行股份有限公司成都双流支行</v>
      </c>
      <c r="H70" s="43"/>
      <c r="I70" s="43"/>
      <c r="J70" s="43"/>
      <c r="K70" s="43"/>
      <c r="L70" s="43"/>
      <c r="M70" s="49"/>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53"/>
      <c r="Q91" s="58"/>
      <c r="R91" s="44"/>
      <c r="S91" s="53"/>
      <c r="T91" s="58"/>
      <c r="U91" s="58"/>
      <c r="V91" s="44"/>
      <c r="W91" s="44"/>
      <c r="X91" s="44"/>
      <c r="Y91" s="44"/>
      <c r="Z91" s="44"/>
      <c r="AA91" s="44"/>
      <c r="AB91" s="44"/>
    </row>
    <row r="92" spans="1:28" s="34" customFormat="1" ht="154" hidden="1">
      <c r="A92" s="43">
        <v>5</v>
      </c>
      <c r="B92" s="43" t="str">
        <f t="shared" ref="B92:G92" si="9">B70</f>
        <v>成都千嘉科技股份有限公司</v>
      </c>
      <c r="C92" s="43" t="str">
        <f t="shared" si="9"/>
        <v>成都市市场监督管理局</v>
      </c>
      <c r="D92" s="43" t="str">
        <f t="shared" si="9"/>
        <v>915101227323595889</v>
      </c>
      <c r="E92" s="43" t="str">
        <f t="shared" si="9"/>
        <v>其他股份有限公司(非上市)</v>
      </c>
      <c r="F92" s="43" t="str">
        <f t="shared" si="9"/>
        <v>国家税务总局成都市双流区税务局</v>
      </c>
      <c r="G92" s="43" t="str">
        <f t="shared" si="9"/>
        <v>收款账号：4402249019100200914
开户行：中国工商银行股份有限公司成都双流支行</v>
      </c>
      <c r="H92" s="43"/>
      <c r="I92" s="43"/>
      <c r="J92" s="43"/>
      <c r="K92" s="43"/>
      <c r="L92" s="43"/>
      <c r="M92" s="49"/>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3000</v>
      </c>
      <c r="L114" s="43"/>
      <c r="M114" s="49"/>
      <c r="N114" s="50"/>
      <c r="O114" s="50"/>
      <c r="P114" s="43"/>
      <c r="Q114" s="43"/>
      <c r="R114" s="43">
        <f>R92+R70+R48+R26++R4</f>
        <v>30.98</v>
      </c>
      <c r="S114" s="43"/>
      <c r="T114" s="43"/>
      <c r="U114" s="43"/>
      <c r="V114" s="43"/>
      <c r="W114" s="43"/>
      <c r="X114" s="43"/>
      <c r="Y114" s="43">
        <f>Y92+Y70+Y48+Y26++Y4</f>
        <v>30.98</v>
      </c>
      <c r="Z114" s="43"/>
      <c r="AA114" s="43"/>
      <c r="AB114" s="43"/>
    </row>
    <row r="115" spans="1:28">
      <c r="I115" s="36" t="s">
        <v>49</v>
      </c>
      <c r="K115" s="36">
        <f>IF(K114&gt;3000,K116,K114)</f>
        <v>3000</v>
      </c>
    </row>
    <row r="116" spans="1:28">
      <c r="K116" s="36" t="s">
        <v>50</v>
      </c>
    </row>
  </sheetData>
  <autoFilter ref="A3:AD13" xr:uid="{00000000-0009-0000-0000-0000CB000000}">
    <filterColumn colId="1">
      <colorFilter dxfId="0"/>
    </filterColumn>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AD116"/>
  <sheetViews>
    <sheetView topLeftCell="F1" zoomScale="70" zoomScaleNormal="70" workbookViewId="0">
      <pane ySplit="3" topLeftCell="A4" activePane="bottomLeft" state="frozen"/>
      <selection pane="bottomLeft" activeCell="B4" sqref="B4:AB4"/>
    </sheetView>
  </sheetViews>
  <sheetFormatPr defaultColWidth="8.58203125" defaultRowHeight="14"/>
  <cols>
    <col min="1" max="6" width="8.58203125" style="36"/>
    <col min="7" max="7" width="9" style="36" customWidth="1"/>
    <col min="8" max="12" width="8.58203125" style="36"/>
    <col min="13" max="13" width="8.58203125" style="37"/>
    <col min="14" max="14" width="10.75" style="38" customWidth="1"/>
    <col min="15" max="15" width="11.08203125" style="38" customWidth="1"/>
    <col min="16" max="16" width="9.83203125" style="36" customWidth="1"/>
    <col min="17" max="18" width="8.58203125" style="36"/>
    <col min="19" max="19" width="9.83203125" style="36" customWidth="1"/>
    <col min="20" max="21" width="8.58203125" style="36"/>
    <col min="22" max="22" width="11.5" style="36" customWidth="1"/>
    <col min="23" max="24" width="8.58203125" style="36"/>
    <col min="25" max="25" width="11.75" style="36" customWidth="1"/>
    <col min="26" max="28" width="8.58203125" style="36"/>
    <col min="29" max="29" width="8.58203125" style="36" hidden="1" customWidth="1"/>
    <col min="30" max="30" width="11.75" style="36" customWidth="1"/>
    <col min="31" max="16384" width="8.58203125" style="36"/>
  </cols>
  <sheetData>
    <row r="1" spans="1:30" ht="25">
      <c r="B1" s="163" t="str">
        <f>B4&amp;AC1</f>
        <v>希望森兰科技股份有限公司审计明细表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6" t="s">
        <v>16</v>
      </c>
      <c r="N3" s="47" t="s">
        <v>17</v>
      </c>
      <c r="O3" s="47" t="s">
        <v>18</v>
      </c>
      <c r="P3" s="48"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735</v>
      </c>
      <c r="C4" s="43" t="s">
        <v>52</v>
      </c>
      <c r="D4" s="43" t="s">
        <v>1676</v>
      </c>
      <c r="E4" s="43" t="s">
        <v>380</v>
      </c>
      <c r="F4" s="43" t="s">
        <v>787</v>
      </c>
      <c r="G4" s="43" t="s">
        <v>1677</v>
      </c>
      <c r="H4" s="43" t="s">
        <v>65</v>
      </c>
      <c r="I4" s="43" t="s">
        <v>1678</v>
      </c>
      <c r="J4" s="43" t="s">
        <v>168</v>
      </c>
      <c r="K4" s="43">
        <v>1000</v>
      </c>
      <c r="L4" s="43" t="s">
        <v>1679</v>
      </c>
      <c r="M4" s="49" t="s">
        <v>1680</v>
      </c>
      <c r="N4" s="50">
        <v>45043</v>
      </c>
      <c r="O4" s="50">
        <v>45291</v>
      </c>
      <c r="P4" s="43">
        <f>P13-N4</f>
        <v>269</v>
      </c>
      <c r="Q4" s="55">
        <f>SUM(Q5:Q25)</f>
        <v>32.54</v>
      </c>
      <c r="R4" s="55">
        <v>10.23</v>
      </c>
      <c r="S4" s="43"/>
      <c r="T4" s="55">
        <f>SUM(T5:T25)</f>
        <v>32.54</v>
      </c>
      <c r="U4" s="56">
        <v>4.3499999999999997E-2</v>
      </c>
      <c r="V4" s="50"/>
      <c r="W4" s="43" t="s">
        <v>42</v>
      </c>
      <c r="X4" s="57">
        <f>IFERROR(INDEX([2]支持标准!$F$3:$F$5,MATCH('[2]62'!H4,[2]支持标准!$B$3:$B$5)),0)</f>
        <v>1.4999999999999999E-2</v>
      </c>
      <c r="Y4" s="43">
        <f>ROUNDDOWN(IF((O4-N4+1)*K4*X4/365&gt;R4,R4,(O4-N4+1)*K4*X4/365),2)</f>
        <v>10.23</v>
      </c>
      <c r="Z4" s="55">
        <f>R4-Y4</f>
        <v>0</v>
      </c>
      <c r="AA4" s="55"/>
      <c r="AB4" s="43" t="s">
        <v>61</v>
      </c>
      <c r="AD4" s="61">
        <f>(O4-N4+1)*K4*X4/365</f>
        <v>10.232900000000001</v>
      </c>
    </row>
    <row r="5" spans="1:30" s="35" customFormat="1">
      <c r="A5" s="44"/>
      <c r="B5" s="44"/>
      <c r="C5" s="44"/>
      <c r="D5" s="44"/>
      <c r="E5" s="44"/>
      <c r="F5" s="44"/>
      <c r="G5" s="44"/>
      <c r="H5" s="44"/>
      <c r="I5" s="44"/>
      <c r="J5" s="44"/>
      <c r="K5" s="44"/>
      <c r="L5" s="44"/>
      <c r="M5" s="51"/>
      <c r="N5" s="52"/>
      <c r="O5" s="50">
        <v>45408</v>
      </c>
      <c r="P5" s="53">
        <v>45067</v>
      </c>
      <c r="Q5" s="58">
        <v>2.9</v>
      </c>
      <c r="R5" s="44"/>
      <c r="S5" s="53">
        <f t="shared" ref="S5:S13" si="0">P5</f>
        <v>45067</v>
      </c>
      <c r="T5" s="58">
        <f>(S5-N4)/360*$U$4*$K$4</f>
        <v>2.9</v>
      </c>
      <c r="U5" s="58">
        <f t="shared" ref="U5:U13" si="1">T5-Q5</f>
        <v>0</v>
      </c>
      <c r="V5" s="52"/>
      <c r="W5" s="44"/>
      <c r="X5" s="44"/>
      <c r="Y5" s="44"/>
      <c r="Z5" s="44"/>
      <c r="AA5" s="44"/>
      <c r="AB5" s="44"/>
    </row>
    <row r="6" spans="1:30" s="35" customFormat="1">
      <c r="A6" s="44"/>
      <c r="B6" s="44"/>
      <c r="C6" s="44"/>
      <c r="D6" s="44"/>
      <c r="E6" s="44"/>
      <c r="F6" s="44"/>
      <c r="G6" s="44"/>
      <c r="H6" s="44"/>
      <c r="I6" s="44"/>
      <c r="J6" s="44"/>
      <c r="K6" s="44"/>
      <c r="L6" s="44"/>
      <c r="M6" s="51"/>
      <c r="N6" s="52"/>
      <c r="O6" s="52"/>
      <c r="P6" s="53">
        <v>45098</v>
      </c>
      <c r="Q6" s="58">
        <v>3.75</v>
      </c>
      <c r="R6" s="44"/>
      <c r="S6" s="53">
        <f t="shared" si="0"/>
        <v>45098</v>
      </c>
      <c r="T6" s="58">
        <f t="shared" ref="T6:T13" si="2">(S6-S5)*$K$4*$U$4/360</f>
        <v>3.75</v>
      </c>
      <c r="U6" s="58">
        <f t="shared" si="1"/>
        <v>0</v>
      </c>
      <c r="V6" s="44"/>
      <c r="W6" s="44"/>
      <c r="X6" s="44"/>
      <c r="Y6" s="44"/>
      <c r="Z6" s="44"/>
      <c r="AA6" s="44"/>
      <c r="AB6" s="44"/>
    </row>
    <row r="7" spans="1:30" s="35" customFormat="1">
      <c r="A7" s="44"/>
      <c r="B7" s="44"/>
      <c r="C7" s="44"/>
      <c r="D7" s="44"/>
      <c r="E7" s="44"/>
      <c r="F7" s="44"/>
      <c r="G7" s="44"/>
      <c r="H7" s="44"/>
      <c r="I7" s="44"/>
      <c r="J7" s="44"/>
      <c r="K7" s="44"/>
      <c r="L7" s="44"/>
      <c r="M7" s="51"/>
      <c r="N7" s="52"/>
      <c r="O7" s="52"/>
      <c r="P7" s="53">
        <v>45128</v>
      </c>
      <c r="Q7" s="58">
        <v>3.63</v>
      </c>
      <c r="R7" s="44"/>
      <c r="S7" s="53">
        <f t="shared" si="0"/>
        <v>45128</v>
      </c>
      <c r="T7" s="58">
        <f t="shared" si="2"/>
        <v>3.63</v>
      </c>
      <c r="U7" s="58">
        <f t="shared" si="1"/>
        <v>0</v>
      </c>
      <c r="V7" s="44"/>
      <c r="W7" s="44"/>
      <c r="X7" s="44"/>
      <c r="Y7" s="44"/>
      <c r="Z7" s="44"/>
      <c r="AA7" s="44"/>
      <c r="AB7" s="44"/>
    </row>
    <row r="8" spans="1:30" s="35" customFormat="1">
      <c r="A8" s="44"/>
      <c r="B8" s="44"/>
      <c r="C8" s="44"/>
      <c r="D8" s="44"/>
      <c r="E8" s="44"/>
      <c r="F8" s="44"/>
      <c r="G8" s="44"/>
      <c r="H8" s="44"/>
      <c r="I8" s="44"/>
      <c r="J8" s="44"/>
      <c r="K8" s="44"/>
      <c r="L8" s="44"/>
      <c r="M8" s="51"/>
      <c r="N8" s="52"/>
      <c r="O8" s="52"/>
      <c r="P8" s="53">
        <v>45159</v>
      </c>
      <c r="Q8" s="58">
        <v>3.75</v>
      </c>
      <c r="R8" s="44"/>
      <c r="S8" s="53">
        <f t="shared" si="0"/>
        <v>45159</v>
      </c>
      <c r="T8" s="58">
        <f t="shared" si="2"/>
        <v>3.75</v>
      </c>
      <c r="U8" s="58">
        <f t="shared" si="1"/>
        <v>0</v>
      </c>
      <c r="V8" s="44"/>
      <c r="W8" s="44"/>
      <c r="X8" s="44"/>
      <c r="Y8" s="44"/>
      <c r="Z8" s="44"/>
      <c r="AA8" s="44"/>
      <c r="AB8" s="44"/>
    </row>
    <row r="9" spans="1:30" s="35" customFormat="1">
      <c r="A9" s="44"/>
      <c r="B9" s="44"/>
      <c r="C9" s="44"/>
      <c r="D9" s="44"/>
      <c r="E9" s="44"/>
      <c r="F9" s="44"/>
      <c r="G9" s="44"/>
      <c r="H9" s="44"/>
      <c r="I9" s="44"/>
      <c r="J9" s="44"/>
      <c r="K9" s="44"/>
      <c r="L9" s="44"/>
      <c r="M9" s="51"/>
      <c r="N9" s="52"/>
      <c r="O9" s="52"/>
      <c r="P9" s="53">
        <v>45190</v>
      </c>
      <c r="Q9" s="58">
        <v>3.75</v>
      </c>
      <c r="R9" s="44"/>
      <c r="S9" s="53">
        <f t="shared" si="0"/>
        <v>45190</v>
      </c>
      <c r="T9" s="58">
        <f t="shared" si="2"/>
        <v>3.75</v>
      </c>
      <c r="U9" s="58">
        <f t="shared" si="1"/>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53">
        <v>45220</v>
      </c>
      <c r="Q10" s="58">
        <v>3.63</v>
      </c>
      <c r="R10" s="44"/>
      <c r="S10" s="53">
        <f t="shared" si="0"/>
        <v>45220</v>
      </c>
      <c r="T10" s="58">
        <f t="shared" si="2"/>
        <v>3.63</v>
      </c>
      <c r="U10" s="58">
        <f t="shared" si="1"/>
        <v>0</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53">
        <v>45251</v>
      </c>
      <c r="Q11" s="58">
        <v>3.75</v>
      </c>
      <c r="R11" s="44"/>
      <c r="S11" s="53">
        <f t="shared" si="0"/>
        <v>45251</v>
      </c>
      <c r="T11" s="58">
        <f t="shared" si="2"/>
        <v>3.75</v>
      </c>
      <c r="U11" s="58">
        <f t="shared" si="1"/>
        <v>0</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53">
        <v>45281</v>
      </c>
      <c r="Q12" s="58">
        <v>3.63</v>
      </c>
      <c r="R12" s="44"/>
      <c r="S12" s="53">
        <f t="shared" si="0"/>
        <v>45281</v>
      </c>
      <c r="T12" s="58">
        <f t="shared" si="2"/>
        <v>3.63</v>
      </c>
      <c r="U12" s="58">
        <f t="shared" si="1"/>
        <v>0</v>
      </c>
      <c r="V12" s="44"/>
      <c r="W12" s="44"/>
      <c r="X12" s="44"/>
      <c r="Y12" s="44"/>
      <c r="Z12" s="44"/>
      <c r="AA12" s="44"/>
      <c r="AB12" s="44"/>
    </row>
    <row r="13" spans="1:30" s="35" customFormat="1">
      <c r="A13" s="44"/>
      <c r="B13" s="44"/>
      <c r="C13" s="44"/>
      <c r="D13" s="44"/>
      <c r="E13" s="44"/>
      <c r="F13" s="44"/>
      <c r="G13" s="44"/>
      <c r="H13" s="44"/>
      <c r="I13" s="44"/>
      <c r="J13" s="44"/>
      <c r="K13" s="44"/>
      <c r="L13" s="44"/>
      <c r="M13" s="51"/>
      <c r="N13" s="52"/>
      <c r="O13" s="52"/>
      <c r="P13" s="53">
        <v>45312</v>
      </c>
      <c r="Q13" s="58">
        <v>3.75</v>
      </c>
      <c r="R13" s="44"/>
      <c r="S13" s="53">
        <f t="shared" si="0"/>
        <v>45312</v>
      </c>
      <c r="T13" s="58">
        <f t="shared" si="2"/>
        <v>3.75</v>
      </c>
      <c r="U13" s="58">
        <f t="shared" si="1"/>
        <v>0</v>
      </c>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53"/>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53"/>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53"/>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51"/>
      <c r="N17" s="52"/>
      <c r="O17" s="52"/>
      <c r="P17" s="53"/>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53"/>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53"/>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53"/>
      <c r="Q25" s="58"/>
      <c r="R25" s="44"/>
      <c r="S25" s="53"/>
      <c r="T25" s="58"/>
      <c r="U25" s="58"/>
      <c r="V25" s="44"/>
      <c r="W25" s="44"/>
      <c r="X25" s="44"/>
      <c r="Y25" s="44"/>
      <c r="Z25" s="44"/>
      <c r="AA25" s="44"/>
      <c r="AB25" s="44"/>
    </row>
    <row r="26" spans="1:30" s="34" customFormat="1" ht="98" hidden="1">
      <c r="A26" s="43">
        <v>2</v>
      </c>
      <c r="B26" s="43" t="str">
        <f t="shared" ref="B26:G26" si="3">B4</f>
        <v>希望森兰科技股份有限公司</v>
      </c>
      <c r="C26" s="43" t="str">
        <f t="shared" si="3"/>
        <v>成都市市场监督管理局</v>
      </c>
      <c r="D26" s="43" t="str">
        <f t="shared" si="3"/>
        <v>915101007092880052</v>
      </c>
      <c r="E26" s="43" t="str">
        <f t="shared" si="3"/>
        <v>其他股份有限公司(非上市)</v>
      </c>
      <c r="F26" s="43" t="str">
        <f t="shared" si="3"/>
        <v>国家税务总局成都市双流区税务局</v>
      </c>
      <c r="G26" s="43" t="str">
        <f t="shared" si="3"/>
        <v>收款账号：1001300000753976
开户行：成都银行公兴支行</v>
      </c>
      <c r="H26" s="43"/>
      <c r="I26" s="43"/>
      <c r="J26" s="43"/>
      <c r="K26" s="43"/>
      <c r="L26" s="43"/>
      <c r="M26" s="49"/>
      <c r="N26" s="50"/>
      <c r="O26" s="50"/>
      <c r="P26" s="43">
        <f>P32-N26</f>
        <v>0</v>
      </c>
      <c r="Q26" s="55">
        <f>SUM(Q27:Q47)</f>
        <v>0</v>
      </c>
      <c r="R26" s="43"/>
      <c r="S26" s="43"/>
      <c r="T26" s="43">
        <f>SUM(T27:T47)</f>
        <v>0</v>
      </c>
      <c r="U26" s="56"/>
      <c r="V26" s="50"/>
      <c r="W26" s="43"/>
      <c r="X26" s="57"/>
      <c r="Y26" s="43">
        <f>ROUNDDOWN(IF((O26-N26+1)*K26*X26/365&gt;R26,R26,(O26-N26+1)*K26*X26/365),2)</f>
        <v>0</v>
      </c>
      <c r="Z26" s="43"/>
      <c r="AA26" s="43"/>
      <c r="AB26" s="43"/>
      <c r="AD26" s="34">
        <f>(O26-N26+1)*K26*X26/365</f>
        <v>0</v>
      </c>
    </row>
    <row r="27" spans="1:30" s="35" customFormat="1" hidden="1">
      <c r="A27" s="44"/>
      <c r="B27" s="44"/>
      <c r="C27" s="44"/>
      <c r="D27" s="44"/>
      <c r="E27" s="44"/>
      <c r="F27" s="44"/>
      <c r="G27" s="44"/>
      <c r="H27" s="44"/>
      <c r="I27" s="44"/>
      <c r="J27" s="44"/>
      <c r="K27" s="44"/>
      <c r="L27" s="44"/>
      <c r="M27" s="51"/>
      <c r="N27" s="52"/>
      <c r="O27" s="50"/>
      <c r="P27" s="53"/>
      <c r="Q27" s="58"/>
      <c r="R27" s="44"/>
      <c r="S27" s="53">
        <f t="shared" ref="S27:S32" si="4">P27</f>
        <v>0</v>
      </c>
      <c r="T27" s="58">
        <f>(S27-N26)/360*$U$26*$K$26</f>
        <v>0</v>
      </c>
      <c r="U27" s="58">
        <f t="shared" ref="U27:U32" si="5">T27-Q27</f>
        <v>0</v>
      </c>
      <c r="V27" s="52"/>
      <c r="W27" s="44"/>
      <c r="X27" s="44"/>
      <c r="Y27" s="62">
        <f>ROUNDUP((V27-N26)*K26*X26/365,2)</f>
        <v>0</v>
      </c>
      <c r="Z27" s="44"/>
      <c r="AA27" s="44"/>
      <c r="AB27" s="44"/>
    </row>
    <row r="28" spans="1:30" s="35" customFormat="1" hidden="1">
      <c r="A28" s="44"/>
      <c r="B28" s="44"/>
      <c r="C28" s="44"/>
      <c r="D28" s="44"/>
      <c r="E28" s="44"/>
      <c r="F28" s="44"/>
      <c r="G28" s="44"/>
      <c r="H28" s="44"/>
      <c r="I28" s="44"/>
      <c r="J28" s="44"/>
      <c r="K28" s="44"/>
      <c r="L28" s="44"/>
      <c r="M28" s="51"/>
      <c r="N28" s="52"/>
      <c r="O28" s="52"/>
      <c r="P28" s="53"/>
      <c r="Q28" s="58"/>
      <c r="R28" s="44"/>
      <c r="S28" s="53">
        <f t="shared" si="4"/>
        <v>0</v>
      </c>
      <c r="T28" s="58">
        <f>(S28-S27)*$U$26*$K$26/360</f>
        <v>0</v>
      </c>
      <c r="U28" s="58">
        <f t="shared" si="5"/>
        <v>0</v>
      </c>
      <c r="V28" s="44"/>
      <c r="W28" s="44"/>
      <c r="X28" s="44"/>
      <c r="Y28" s="62">
        <f>ROUNDUP((O26-V27+1)*(K26-W27)*X26/365,2)</f>
        <v>0</v>
      </c>
      <c r="Z28" s="44"/>
      <c r="AA28" s="44"/>
      <c r="AB28" s="44"/>
    </row>
    <row r="29" spans="1:30" s="35" customFormat="1" hidden="1">
      <c r="A29" s="44"/>
      <c r="B29" s="44"/>
      <c r="C29" s="44"/>
      <c r="D29" s="44"/>
      <c r="E29" s="44"/>
      <c r="F29" s="44"/>
      <c r="G29" s="44"/>
      <c r="H29" s="44"/>
      <c r="I29" s="44"/>
      <c r="J29" s="44"/>
      <c r="K29" s="44"/>
      <c r="L29" s="44"/>
      <c r="M29" s="51"/>
      <c r="N29" s="52"/>
      <c r="O29" s="52"/>
      <c r="P29" s="53"/>
      <c r="Q29" s="58"/>
      <c r="R29" s="44"/>
      <c r="S29" s="53">
        <f t="shared" si="4"/>
        <v>0</v>
      </c>
      <c r="T29" s="58">
        <f>(S29-S28)*$U$26*$K$26/360</f>
        <v>0</v>
      </c>
      <c r="U29" s="58">
        <f t="shared" si="5"/>
        <v>0</v>
      </c>
      <c r="V29" s="44"/>
      <c r="W29" s="44"/>
      <c r="X29" s="44"/>
      <c r="Y29" s="44"/>
      <c r="Z29" s="44"/>
      <c r="AA29" s="44"/>
      <c r="AB29" s="44"/>
    </row>
    <row r="30" spans="1:30" s="35" customFormat="1" hidden="1">
      <c r="A30" s="44"/>
      <c r="B30" s="44"/>
      <c r="C30" s="44"/>
      <c r="D30" s="44"/>
      <c r="E30" s="44"/>
      <c r="F30" s="44"/>
      <c r="G30" s="44"/>
      <c r="H30" s="44"/>
      <c r="I30" s="44"/>
      <c r="J30" s="44"/>
      <c r="K30" s="44"/>
      <c r="L30" s="44"/>
      <c r="M30" s="51"/>
      <c r="N30" s="52"/>
      <c r="O30" s="52"/>
      <c r="P30" s="53"/>
      <c r="Q30" s="58"/>
      <c r="R30" s="44"/>
      <c r="S30" s="53">
        <f t="shared" si="4"/>
        <v>0</v>
      </c>
      <c r="T30" s="58">
        <f>(S30-S29)*$U$26*$K$26/360</f>
        <v>0</v>
      </c>
      <c r="U30" s="58">
        <f t="shared" si="5"/>
        <v>0</v>
      </c>
      <c r="V30" s="44"/>
      <c r="W30" s="44"/>
      <c r="X30" s="44"/>
      <c r="Y30" s="44"/>
      <c r="Z30" s="44"/>
      <c r="AA30" s="44"/>
      <c r="AB30" s="44"/>
    </row>
    <row r="31" spans="1:30" s="35" customFormat="1" hidden="1">
      <c r="A31" s="44"/>
      <c r="B31" s="44"/>
      <c r="C31" s="44"/>
      <c r="D31" s="44"/>
      <c r="E31" s="44"/>
      <c r="F31" s="44"/>
      <c r="G31" s="44"/>
      <c r="H31" s="44"/>
      <c r="I31" s="44"/>
      <c r="J31" s="44"/>
      <c r="K31" s="44"/>
      <c r="L31" s="44"/>
      <c r="M31" s="51"/>
      <c r="N31" s="52"/>
      <c r="O31" s="52"/>
      <c r="P31" s="53"/>
      <c r="Q31" s="58"/>
      <c r="R31" s="44"/>
      <c r="S31" s="53">
        <f t="shared" si="4"/>
        <v>0</v>
      </c>
      <c r="T31" s="58">
        <f>(S31-S30)*$U$26*$K$26/360</f>
        <v>0</v>
      </c>
      <c r="U31" s="58">
        <f t="shared" si="5"/>
        <v>0</v>
      </c>
      <c r="V31" s="44"/>
      <c r="W31" s="44"/>
      <c r="X31" s="44"/>
      <c r="Y31" s="44"/>
      <c r="Z31" s="44"/>
      <c r="AA31" s="44"/>
      <c r="AB31" s="44"/>
    </row>
    <row r="32" spans="1:30" s="35" customFormat="1" hidden="1">
      <c r="A32" s="44"/>
      <c r="B32" s="44"/>
      <c r="C32" s="44"/>
      <c r="D32" s="44"/>
      <c r="E32" s="44"/>
      <c r="F32" s="44"/>
      <c r="G32" s="44"/>
      <c r="H32" s="44"/>
      <c r="I32" s="44"/>
      <c r="J32" s="44"/>
      <c r="K32" s="44"/>
      <c r="L32" s="44"/>
      <c r="M32" s="51"/>
      <c r="N32" s="52"/>
      <c r="O32" s="52"/>
      <c r="P32" s="53"/>
      <c r="Q32" s="58"/>
      <c r="R32" s="44"/>
      <c r="S32" s="53">
        <f t="shared" si="4"/>
        <v>0</v>
      </c>
      <c r="T32" s="58">
        <f>(S32-S31)*$U$26*$K$26/360</f>
        <v>0</v>
      </c>
      <c r="U32" s="58">
        <f t="shared" si="5"/>
        <v>0</v>
      </c>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53"/>
      <c r="Q47" s="58"/>
      <c r="R47" s="44"/>
      <c r="S47" s="53"/>
      <c r="T47" s="58"/>
      <c r="U47" s="58"/>
      <c r="V47" s="44"/>
      <c r="W47" s="44"/>
      <c r="X47" s="44"/>
      <c r="Y47" s="44"/>
      <c r="Z47" s="44"/>
      <c r="AA47" s="44"/>
      <c r="AB47" s="44"/>
    </row>
    <row r="48" spans="1:28" s="34" customFormat="1" ht="98" hidden="1">
      <c r="A48" s="43">
        <v>3</v>
      </c>
      <c r="B48" s="43" t="str">
        <f t="shared" ref="B48:G48" si="6">B26</f>
        <v>希望森兰科技股份有限公司</v>
      </c>
      <c r="C48" s="43" t="str">
        <f t="shared" si="6"/>
        <v>成都市市场监督管理局</v>
      </c>
      <c r="D48" s="43" t="str">
        <f t="shared" si="6"/>
        <v>915101007092880052</v>
      </c>
      <c r="E48" s="43" t="str">
        <f t="shared" si="6"/>
        <v>其他股份有限公司(非上市)</v>
      </c>
      <c r="F48" s="43" t="str">
        <f t="shared" si="6"/>
        <v>国家税务总局成都市双流区税务局</v>
      </c>
      <c r="G48" s="43" t="str">
        <f t="shared" si="6"/>
        <v>收款账号：1001300000753976
开户行：成都银行公兴支行</v>
      </c>
      <c r="H48" s="43" t="s">
        <v>65</v>
      </c>
      <c r="I48" s="43" t="s">
        <v>57</v>
      </c>
      <c r="J48" s="43" t="s">
        <v>66</v>
      </c>
      <c r="K48" s="43"/>
      <c r="L48" s="43"/>
      <c r="M48" s="49"/>
      <c r="N48" s="50"/>
      <c r="O48" s="50"/>
      <c r="P48" s="43"/>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53"/>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53"/>
      <c r="Q69" s="58"/>
      <c r="R69" s="44"/>
      <c r="S69" s="53"/>
      <c r="T69" s="58"/>
      <c r="U69" s="58"/>
      <c r="V69" s="44"/>
      <c r="W69" s="44"/>
      <c r="X69" s="44"/>
      <c r="Y69" s="44"/>
      <c r="Z69" s="44"/>
      <c r="AA69" s="44"/>
      <c r="AB69" s="44"/>
    </row>
    <row r="70" spans="1:28" s="34" customFormat="1" ht="98" hidden="1">
      <c r="A70" s="43">
        <v>4</v>
      </c>
      <c r="B70" s="43" t="str">
        <f t="shared" ref="B70:G70" si="7">B48</f>
        <v>希望森兰科技股份有限公司</v>
      </c>
      <c r="C70" s="43" t="str">
        <f t="shared" si="7"/>
        <v>成都市市场监督管理局</v>
      </c>
      <c r="D70" s="43" t="str">
        <f t="shared" si="7"/>
        <v>915101007092880052</v>
      </c>
      <c r="E70" s="43" t="str">
        <f t="shared" si="7"/>
        <v>其他股份有限公司(非上市)</v>
      </c>
      <c r="F70" s="43" t="str">
        <f t="shared" si="7"/>
        <v>国家税务总局成都市双流区税务局</v>
      </c>
      <c r="G70" s="43" t="str">
        <f t="shared" si="7"/>
        <v>收款账号：1001300000753976
开户行：成都银行公兴支行</v>
      </c>
      <c r="H70" s="43"/>
      <c r="I70" s="43"/>
      <c r="J70" s="43"/>
      <c r="K70" s="43"/>
      <c r="L70" s="43"/>
      <c r="M70" s="49"/>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53"/>
      <c r="Q91" s="58"/>
      <c r="R91" s="44"/>
      <c r="S91" s="53"/>
      <c r="T91" s="58"/>
      <c r="U91" s="58"/>
      <c r="V91" s="44"/>
      <c r="W91" s="44"/>
      <c r="X91" s="44"/>
      <c r="Y91" s="44"/>
      <c r="Z91" s="44"/>
      <c r="AA91" s="44"/>
      <c r="AB91" s="44"/>
    </row>
    <row r="92" spans="1:28" s="34" customFormat="1" ht="98" hidden="1">
      <c r="A92" s="43">
        <v>5</v>
      </c>
      <c r="B92" s="43" t="str">
        <f t="shared" ref="B92:G92" si="8">B70</f>
        <v>希望森兰科技股份有限公司</v>
      </c>
      <c r="C92" s="43" t="str">
        <f t="shared" si="8"/>
        <v>成都市市场监督管理局</v>
      </c>
      <c r="D92" s="43" t="str">
        <f t="shared" si="8"/>
        <v>915101007092880052</v>
      </c>
      <c r="E92" s="43" t="str">
        <f t="shared" si="8"/>
        <v>其他股份有限公司(非上市)</v>
      </c>
      <c r="F92" s="43" t="str">
        <f t="shared" si="8"/>
        <v>国家税务总局成都市双流区税务局</v>
      </c>
      <c r="G92" s="43" t="str">
        <f t="shared" si="8"/>
        <v>收款账号：1001300000753976
开户行：成都银行公兴支行</v>
      </c>
      <c r="H92" s="43"/>
      <c r="I92" s="43"/>
      <c r="J92" s="43"/>
      <c r="K92" s="43"/>
      <c r="L92" s="43"/>
      <c r="M92" s="49"/>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43"/>
      <c r="Q114" s="43"/>
      <c r="R114" s="43">
        <f>R92+R70+R48+R26++R4</f>
        <v>10.23</v>
      </c>
      <c r="S114" s="43"/>
      <c r="T114" s="43"/>
      <c r="U114" s="43"/>
      <c r="V114" s="43"/>
      <c r="W114" s="43"/>
      <c r="X114" s="43"/>
      <c r="Y114" s="43">
        <f>Y92+Y70+Y48+Y26++Y4</f>
        <v>10.23</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AD116"/>
  <sheetViews>
    <sheetView topLeftCell="L1" zoomScale="90" zoomScaleNormal="90" workbookViewId="0">
      <pane ySplit="3" topLeftCell="A4" activePane="bottomLeft" state="frozen"/>
      <selection pane="bottomLeft" activeCell="AA9" sqref="AA9"/>
    </sheetView>
  </sheetViews>
  <sheetFormatPr defaultColWidth="8.58203125" defaultRowHeight="14"/>
  <cols>
    <col min="1" max="6" width="8.58203125" style="36"/>
    <col min="7" max="7" width="9" style="36" customWidth="1"/>
    <col min="8" max="12" width="8.58203125" style="36"/>
    <col min="13" max="13" width="8.58203125" style="37"/>
    <col min="14" max="14" width="10.75" style="38" customWidth="1"/>
    <col min="15" max="15" width="11.08203125" style="38" customWidth="1"/>
    <col min="16" max="16" width="9.83203125" style="36" customWidth="1"/>
    <col min="17" max="18" width="8.58203125" style="36"/>
    <col min="19" max="19" width="9.83203125" style="36" customWidth="1"/>
    <col min="20" max="21" width="8.58203125" style="36"/>
    <col min="22" max="22" width="11.5" style="36" customWidth="1"/>
    <col min="23" max="24" width="8.58203125" style="36"/>
    <col min="25" max="25" width="11.75" style="36" customWidth="1"/>
    <col min="26" max="28" width="8.58203125" style="36"/>
    <col min="29" max="29" width="8.58203125" style="36" hidden="1" customWidth="1"/>
    <col min="30" max="30" width="11.75" style="36" customWidth="1"/>
    <col min="31" max="16384" width="8.58203125" style="36"/>
  </cols>
  <sheetData>
    <row r="1" spans="1:30" ht="25">
      <c r="B1" s="163" t="str">
        <f>B4&amp;AC1</f>
        <v>成都迅翼卫通科技有限公司审计明细表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6" t="s">
        <v>16</v>
      </c>
      <c r="N3" s="47" t="s">
        <v>17</v>
      </c>
      <c r="O3" s="47" t="s">
        <v>18</v>
      </c>
      <c r="P3" s="48"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40">
      <c r="A4" s="43">
        <v>1</v>
      </c>
      <c r="B4" s="43" t="s">
        <v>676</v>
      </c>
      <c r="C4" s="43" t="s">
        <v>785</v>
      </c>
      <c r="D4" s="43" t="s">
        <v>1681</v>
      </c>
      <c r="E4" s="43" t="s">
        <v>121</v>
      </c>
      <c r="F4" s="43" t="s">
        <v>787</v>
      </c>
      <c r="G4" s="43" t="s">
        <v>1682</v>
      </c>
      <c r="H4" s="43" t="s">
        <v>65</v>
      </c>
      <c r="I4" s="43" t="s">
        <v>1683</v>
      </c>
      <c r="J4" s="43" t="s">
        <v>1684</v>
      </c>
      <c r="K4" s="43">
        <v>93.75</v>
      </c>
      <c r="L4" s="43" t="s">
        <v>1685</v>
      </c>
      <c r="M4" s="49" t="s">
        <v>1686</v>
      </c>
      <c r="N4" s="68">
        <v>45068</v>
      </c>
      <c r="O4" s="50">
        <v>45291</v>
      </c>
      <c r="P4" s="43">
        <f>P12-N4</f>
        <v>243</v>
      </c>
      <c r="Q4" s="55">
        <f>SUM(Q5:Q25)</f>
        <v>2.5099999999999998</v>
      </c>
      <c r="R4" s="55">
        <v>0.86</v>
      </c>
      <c r="S4" s="43"/>
      <c r="T4" s="55">
        <f>SUM(T5:T25)</f>
        <v>2.5099999999999998</v>
      </c>
      <c r="U4" s="56">
        <v>3.95E-2</v>
      </c>
      <c r="V4" s="50"/>
      <c r="W4" s="43" t="s">
        <v>42</v>
      </c>
      <c r="X4" s="57">
        <v>1.4999999999999999E-2</v>
      </c>
      <c r="Y4" s="43">
        <f>ROUNDDOWN(IF((O4-N4+1)*K4*X4/365&gt;R4,R4,(O4-N4+1)*K4*X4/365),2)</f>
        <v>0.86</v>
      </c>
      <c r="Z4" s="55">
        <f>R4-Y4</f>
        <v>0</v>
      </c>
      <c r="AA4" s="55"/>
      <c r="AB4" s="43" t="s">
        <v>61</v>
      </c>
      <c r="AD4" s="61">
        <f>(O4-N4+1)*K4*X4/365</f>
        <v>0.86299999999999999</v>
      </c>
    </row>
    <row r="5" spans="1:30" s="35" customFormat="1">
      <c r="A5" s="44"/>
      <c r="B5" s="44"/>
      <c r="C5" s="44"/>
      <c r="D5" s="44"/>
      <c r="E5" s="44"/>
      <c r="F5" s="44"/>
      <c r="G5" s="44"/>
      <c r="H5" s="44"/>
      <c r="I5" s="44"/>
      <c r="J5" s="44"/>
      <c r="K5" s="44"/>
      <c r="L5" s="44"/>
      <c r="M5" s="51"/>
      <c r="N5" s="52"/>
      <c r="O5" s="68">
        <v>45464</v>
      </c>
      <c r="P5" s="53">
        <v>45097</v>
      </c>
      <c r="Q5" s="69">
        <v>0.3</v>
      </c>
      <c r="R5" s="44"/>
      <c r="S5" s="53">
        <f t="shared" ref="S5:S12" si="0">P5</f>
        <v>45097</v>
      </c>
      <c r="T5" s="58">
        <f>(S5-N4)/360*$U$4*$K$4</f>
        <v>0.3</v>
      </c>
      <c r="U5" s="58">
        <f t="shared" ref="U5:U12" si="1">T5-Q5</f>
        <v>0</v>
      </c>
      <c r="V5" s="52"/>
      <c r="W5" s="44"/>
      <c r="X5" s="44"/>
      <c r="Y5" s="44"/>
      <c r="Z5" s="44"/>
      <c r="AA5" s="44"/>
      <c r="AB5" s="44"/>
    </row>
    <row r="6" spans="1:30" s="35" customFormat="1">
      <c r="A6" s="44"/>
      <c r="B6" s="44"/>
      <c r="C6" s="44"/>
      <c r="D6" s="44"/>
      <c r="E6" s="44"/>
      <c r="F6" s="44"/>
      <c r="G6" s="44"/>
      <c r="H6" s="44"/>
      <c r="I6" s="44"/>
      <c r="J6" s="44"/>
      <c r="K6" s="44"/>
      <c r="L6" s="44"/>
      <c r="M6" s="51"/>
      <c r="N6" s="52"/>
      <c r="O6" s="52"/>
      <c r="P6" s="53">
        <v>45127</v>
      </c>
      <c r="Q6" s="58">
        <v>0.31</v>
      </c>
      <c r="R6" s="44"/>
      <c r="S6" s="53">
        <f t="shared" si="0"/>
        <v>45127</v>
      </c>
      <c r="T6" s="58">
        <f t="shared" ref="T6:T12" si="2">(S6-S5)*$K$4*$U$4/360</f>
        <v>0.31</v>
      </c>
      <c r="U6" s="58">
        <f t="shared" si="1"/>
        <v>0</v>
      </c>
      <c r="V6" s="44"/>
      <c r="W6" s="44"/>
      <c r="X6" s="44"/>
      <c r="Y6" s="44"/>
      <c r="Z6" s="44"/>
      <c r="AA6" s="44"/>
      <c r="AB6" s="44"/>
    </row>
    <row r="7" spans="1:30" s="35" customFormat="1">
      <c r="A7" s="44"/>
      <c r="B7" s="44"/>
      <c r="C7" s="44"/>
      <c r="D7" s="44"/>
      <c r="E7" s="44"/>
      <c r="F7" s="44"/>
      <c r="G7" s="44"/>
      <c r="H7" s="44"/>
      <c r="I7" s="44"/>
      <c r="J7" s="44"/>
      <c r="K7" s="44"/>
      <c r="L7" s="44"/>
      <c r="M7" s="51"/>
      <c r="N7" s="52"/>
      <c r="O7" s="52"/>
      <c r="P7" s="53">
        <v>45158</v>
      </c>
      <c r="Q7" s="58">
        <v>0.32</v>
      </c>
      <c r="R7" s="44"/>
      <c r="S7" s="53">
        <f t="shared" si="0"/>
        <v>45158</v>
      </c>
      <c r="T7" s="58">
        <f t="shared" si="2"/>
        <v>0.32</v>
      </c>
      <c r="U7" s="58">
        <f t="shared" si="1"/>
        <v>0</v>
      </c>
      <c r="V7" s="44"/>
      <c r="W7" s="44"/>
      <c r="X7" s="44"/>
      <c r="Y7" s="44"/>
      <c r="Z7" s="44"/>
      <c r="AA7" s="44"/>
      <c r="AB7" s="44"/>
    </row>
    <row r="8" spans="1:30" s="35" customFormat="1">
      <c r="A8" s="44"/>
      <c r="B8" s="44"/>
      <c r="C8" s="44"/>
      <c r="D8" s="44"/>
      <c r="E8" s="44"/>
      <c r="F8" s="44"/>
      <c r="G8" s="44"/>
      <c r="H8" s="44"/>
      <c r="I8" s="44"/>
      <c r="J8" s="44"/>
      <c r="K8" s="44"/>
      <c r="L8" s="44"/>
      <c r="M8" s="51"/>
      <c r="N8" s="52"/>
      <c r="O8" s="52"/>
      <c r="P8" s="53">
        <v>45189</v>
      </c>
      <c r="Q8" s="58">
        <v>0.32</v>
      </c>
      <c r="R8" s="44"/>
      <c r="S8" s="53">
        <f t="shared" si="0"/>
        <v>45189</v>
      </c>
      <c r="T8" s="58">
        <f t="shared" si="2"/>
        <v>0.32</v>
      </c>
      <c r="U8" s="58">
        <f t="shared" si="1"/>
        <v>0</v>
      </c>
      <c r="V8" s="44"/>
      <c r="W8" s="44"/>
      <c r="X8" s="44"/>
      <c r="Y8" s="44"/>
      <c r="Z8" s="44"/>
      <c r="AA8" s="44"/>
      <c r="AB8" s="44"/>
    </row>
    <row r="9" spans="1:30" s="35" customFormat="1">
      <c r="A9" s="44"/>
      <c r="B9" s="44"/>
      <c r="C9" s="44"/>
      <c r="D9" s="44"/>
      <c r="E9" s="44"/>
      <c r="F9" s="44"/>
      <c r="G9" s="44"/>
      <c r="H9" s="44"/>
      <c r="I9" s="44"/>
      <c r="J9" s="44"/>
      <c r="K9" s="44"/>
      <c r="L9" s="44"/>
      <c r="M9" s="51"/>
      <c r="N9" s="52"/>
      <c r="O9" s="52"/>
      <c r="P9" s="53">
        <v>45219</v>
      </c>
      <c r="Q9" s="58">
        <v>0.31</v>
      </c>
      <c r="R9" s="44"/>
      <c r="S9" s="53">
        <f t="shared" si="0"/>
        <v>45219</v>
      </c>
      <c r="T9" s="58">
        <f t="shared" si="2"/>
        <v>0.31</v>
      </c>
      <c r="U9" s="58">
        <f t="shared" si="1"/>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53">
        <v>45250</v>
      </c>
      <c r="Q10" s="58">
        <v>0.32</v>
      </c>
      <c r="R10" s="44"/>
      <c r="S10" s="53">
        <f t="shared" si="0"/>
        <v>45250</v>
      </c>
      <c r="T10" s="58">
        <f t="shared" si="2"/>
        <v>0.32</v>
      </c>
      <c r="U10" s="58">
        <f t="shared" si="1"/>
        <v>0</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53">
        <v>45280</v>
      </c>
      <c r="Q11" s="58">
        <v>0.31</v>
      </c>
      <c r="R11" s="44"/>
      <c r="S11" s="53">
        <f t="shared" si="0"/>
        <v>45280</v>
      </c>
      <c r="T11" s="58">
        <f t="shared" si="2"/>
        <v>0.31</v>
      </c>
      <c r="U11" s="58">
        <f t="shared" si="1"/>
        <v>0</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53">
        <v>45311</v>
      </c>
      <c r="Q12" s="58">
        <v>0.32</v>
      </c>
      <c r="R12" s="44"/>
      <c r="S12" s="53">
        <f t="shared" si="0"/>
        <v>45311</v>
      </c>
      <c r="T12" s="58">
        <f t="shared" si="2"/>
        <v>0.32</v>
      </c>
      <c r="U12" s="58">
        <f t="shared" si="1"/>
        <v>0</v>
      </c>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53"/>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53"/>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53"/>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53"/>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51"/>
      <c r="N17" s="52"/>
      <c r="O17" s="52"/>
      <c r="P17" s="53"/>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53"/>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53"/>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53"/>
      <c r="Q25" s="58"/>
      <c r="R25" s="44"/>
      <c r="S25" s="53"/>
      <c r="T25" s="58"/>
      <c r="U25" s="58"/>
      <c r="V25" s="44"/>
      <c r="W25" s="44"/>
      <c r="X25" s="44"/>
      <c r="Y25" s="44"/>
      <c r="Z25" s="44"/>
      <c r="AA25" s="44"/>
      <c r="AB25" s="44"/>
    </row>
    <row r="26" spans="1:30" s="34" customFormat="1" ht="140">
      <c r="A26" s="43">
        <v>2</v>
      </c>
      <c r="B26" s="43" t="str">
        <f t="shared" ref="B26:G26" si="3">B4</f>
        <v>成都迅翼卫通科技有限公司</v>
      </c>
      <c r="C26" s="43" t="str">
        <f t="shared" si="3"/>
        <v>成都市双流区行政审批局</v>
      </c>
      <c r="D26" s="43" t="str">
        <f t="shared" si="3"/>
        <v>91510108331951281C</v>
      </c>
      <c r="E26" s="43" t="str">
        <f t="shared" si="3"/>
        <v>其他有限责任公司</v>
      </c>
      <c r="F26" s="43" t="str">
        <f t="shared" si="3"/>
        <v>国家税务总局成都市双流区税务局</v>
      </c>
      <c r="G26" s="43" t="str">
        <f t="shared" si="3"/>
        <v>收款账号：4402211209100013039
开户行：中国工商银行龙潭工业园区支行</v>
      </c>
      <c r="H26" s="43" t="s">
        <v>65</v>
      </c>
      <c r="I26" s="43" t="s">
        <v>1683</v>
      </c>
      <c r="J26" s="43" t="s">
        <v>1684</v>
      </c>
      <c r="K26" s="43">
        <v>406.25</v>
      </c>
      <c r="L26" s="43" t="s">
        <v>1685</v>
      </c>
      <c r="M26" s="49" t="s">
        <v>1687</v>
      </c>
      <c r="N26" s="68">
        <v>45064</v>
      </c>
      <c r="O26" s="50">
        <v>45291</v>
      </c>
      <c r="P26" s="43">
        <f>P35-N26</f>
        <v>247</v>
      </c>
      <c r="Q26" s="55">
        <f>SUM(Q27:Q47)</f>
        <v>11.01</v>
      </c>
      <c r="R26" s="43">
        <v>3.8</v>
      </c>
      <c r="S26" s="43"/>
      <c r="T26" s="43">
        <f>SUM(T27:T47)</f>
        <v>11.01</v>
      </c>
      <c r="U26" s="56">
        <v>3.95E-2</v>
      </c>
      <c r="V26" s="50"/>
      <c r="W26" s="43" t="s">
        <v>42</v>
      </c>
      <c r="X26" s="57">
        <v>1.4999999999999999E-2</v>
      </c>
      <c r="Y26" s="43">
        <f>ROUNDDOWN(IF((O26-N26+1)*K26*X26/365&gt;R26,R26,(O26-N26+1)*K26*X26/365),2)</f>
        <v>3.8</v>
      </c>
      <c r="Z26" s="43">
        <f>R26-Y26</f>
        <v>0</v>
      </c>
      <c r="AA26" s="43"/>
      <c r="AB26" s="43" t="s">
        <v>61</v>
      </c>
      <c r="AD26" s="34">
        <f>(O26-N26+1)*K26*X26/365</f>
        <v>3.80650684931507</v>
      </c>
    </row>
    <row r="27" spans="1:30" s="35" customFormat="1">
      <c r="A27" s="44"/>
      <c r="B27" s="44"/>
      <c r="C27" s="44"/>
      <c r="D27" s="44"/>
      <c r="E27" s="44"/>
      <c r="F27" s="44"/>
      <c r="G27" s="44"/>
      <c r="H27" s="44"/>
      <c r="I27" s="44"/>
      <c r="J27" s="44"/>
      <c r="K27" s="44"/>
      <c r="L27" s="44"/>
      <c r="M27" s="51"/>
      <c r="N27" s="52"/>
      <c r="O27" s="68">
        <v>45460</v>
      </c>
      <c r="P27" s="53">
        <v>45066</v>
      </c>
      <c r="Q27" s="58">
        <v>0.09</v>
      </c>
      <c r="R27" s="44"/>
      <c r="S27" s="53">
        <f t="shared" ref="S27:S35" si="4">P27</f>
        <v>45066</v>
      </c>
      <c r="T27" s="58">
        <f>(S27-N26)/360*$U$26*$K$26</f>
        <v>0.09</v>
      </c>
      <c r="U27" s="58">
        <f t="shared" ref="U27:U35" si="5">T27-Q27</f>
        <v>0</v>
      </c>
      <c r="V27" s="52"/>
      <c r="W27" s="44"/>
      <c r="X27" s="44"/>
      <c r="Y27" s="62"/>
      <c r="Z27" s="44"/>
      <c r="AA27" s="44"/>
      <c r="AB27" s="44"/>
    </row>
    <row r="28" spans="1:30" s="35" customFormat="1">
      <c r="A28" s="44"/>
      <c r="B28" s="44"/>
      <c r="C28" s="44"/>
      <c r="D28" s="44"/>
      <c r="E28" s="44"/>
      <c r="F28" s="44"/>
      <c r="G28" s="44"/>
      <c r="H28" s="44"/>
      <c r="I28" s="44"/>
      <c r="J28" s="44"/>
      <c r="K28" s="44"/>
      <c r="L28" s="44"/>
      <c r="M28" s="51"/>
      <c r="N28" s="52"/>
      <c r="O28" s="52"/>
      <c r="P28" s="53">
        <v>45097</v>
      </c>
      <c r="Q28" s="58">
        <v>1.38</v>
      </c>
      <c r="R28" s="44"/>
      <c r="S28" s="53">
        <f t="shared" si="4"/>
        <v>45097</v>
      </c>
      <c r="T28" s="58">
        <f t="shared" ref="T28:T35" si="6">(S28-S27)*$U$26*$K$26/360</f>
        <v>1.38</v>
      </c>
      <c r="U28" s="58">
        <f t="shared" si="5"/>
        <v>0</v>
      </c>
      <c r="V28" s="44"/>
      <c r="W28" s="44"/>
      <c r="X28" s="44"/>
      <c r="Y28" s="62"/>
      <c r="Z28" s="44"/>
      <c r="AA28" s="44"/>
      <c r="AB28" s="44"/>
    </row>
    <row r="29" spans="1:30" s="35" customFormat="1">
      <c r="A29" s="44"/>
      <c r="B29" s="44"/>
      <c r="C29" s="44"/>
      <c r="D29" s="44"/>
      <c r="E29" s="44"/>
      <c r="F29" s="44"/>
      <c r="G29" s="44"/>
      <c r="H29" s="44"/>
      <c r="I29" s="44"/>
      <c r="J29" s="44"/>
      <c r="K29" s="44"/>
      <c r="L29" s="44"/>
      <c r="M29" s="51"/>
      <c r="N29" s="52"/>
      <c r="O29" s="52"/>
      <c r="P29" s="53">
        <v>45127</v>
      </c>
      <c r="Q29" s="58">
        <v>1.34</v>
      </c>
      <c r="R29" s="44"/>
      <c r="S29" s="53">
        <f t="shared" si="4"/>
        <v>45127</v>
      </c>
      <c r="T29" s="58">
        <f t="shared" si="6"/>
        <v>1.34</v>
      </c>
      <c r="U29" s="58">
        <f t="shared" si="5"/>
        <v>0</v>
      </c>
      <c r="V29" s="44"/>
      <c r="W29" s="44"/>
      <c r="X29" s="44"/>
      <c r="Y29" s="44"/>
      <c r="Z29" s="44"/>
      <c r="AA29" s="44"/>
      <c r="AB29" s="44"/>
    </row>
    <row r="30" spans="1:30" s="35" customFormat="1">
      <c r="A30" s="44"/>
      <c r="B30" s="44"/>
      <c r="C30" s="44"/>
      <c r="D30" s="44"/>
      <c r="E30" s="44"/>
      <c r="F30" s="44"/>
      <c r="G30" s="44"/>
      <c r="H30" s="44"/>
      <c r="I30" s="44"/>
      <c r="J30" s="44"/>
      <c r="K30" s="44"/>
      <c r="L30" s="44"/>
      <c r="M30" s="51"/>
      <c r="N30" s="52"/>
      <c r="O30" s="52"/>
      <c r="P30" s="53">
        <v>45158</v>
      </c>
      <c r="Q30" s="58">
        <v>1.38</v>
      </c>
      <c r="R30" s="44"/>
      <c r="S30" s="53">
        <f t="shared" si="4"/>
        <v>45158</v>
      </c>
      <c r="T30" s="58">
        <f t="shared" si="6"/>
        <v>1.38</v>
      </c>
      <c r="U30" s="58">
        <f t="shared" si="5"/>
        <v>0</v>
      </c>
      <c r="V30" s="44"/>
      <c r="W30" s="44"/>
      <c r="X30" s="44"/>
      <c r="Y30" s="44"/>
      <c r="Z30" s="44"/>
      <c r="AA30" s="44"/>
      <c r="AB30" s="44"/>
    </row>
    <row r="31" spans="1:30" s="35" customFormat="1">
      <c r="A31" s="44"/>
      <c r="B31" s="44"/>
      <c r="C31" s="44"/>
      <c r="D31" s="44"/>
      <c r="E31" s="44"/>
      <c r="F31" s="44"/>
      <c r="G31" s="44"/>
      <c r="H31" s="44"/>
      <c r="I31" s="44"/>
      <c r="J31" s="44"/>
      <c r="K31" s="44"/>
      <c r="L31" s="44"/>
      <c r="M31" s="51"/>
      <c r="N31" s="52"/>
      <c r="O31" s="52"/>
      <c r="P31" s="53">
        <v>45189</v>
      </c>
      <c r="Q31" s="58">
        <v>1.38</v>
      </c>
      <c r="R31" s="44"/>
      <c r="S31" s="53">
        <f t="shared" si="4"/>
        <v>45189</v>
      </c>
      <c r="T31" s="58">
        <f t="shared" si="6"/>
        <v>1.38</v>
      </c>
      <c r="U31" s="58">
        <f t="shared" si="5"/>
        <v>0</v>
      </c>
      <c r="V31" s="44"/>
      <c r="W31" s="44"/>
      <c r="X31" s="44"/>
      <c r="Y31" s="44"/>
      <c r="Z31" s="44"/>
      <c r="AA31" s="44"/>
      <c r="AB31" s="44"/>
    </row>
    <row r="32" spans="1:30" s="35" customFormat="1">
      <c r="A32" s="44"/>
      <c r="B32" s="44"/>
      <c r="C32" s="44"/>
      <c r="D32" s="44"/>
      <c r="E32" s="44"/>
      <c r="F32" s="44"/>
      <c r="G32" s="44"/>
      <c r="H32" s="44"/>
      <c r="I32" s="44"/>
      <c r="J32" s="44"/>
      <c r="K32" s="44"/>
      <c r="L32" s="44"/>
      <c r="M32" s="51"/>
      <c r="N32" s="52"/>
      <c r="O32" s="52"/>
      <c r="P32" s="53">
        <v>45219</v>
      </c>
      <c r="Q32" s="58">
        <v>1.34</v>
      </c>
      <c r="R32" s="44"/>
      <c r="S32" s="53">
        <f t="shared" si="4"/>
        <v>45219</v>
      </c>
      <c r="T32" s="58">
        <f t="shared" si="6"/>
        <v>1.34</v>
      </c>
      <c r="U32" s="58">
        <f t="shared" si="5"/>
        <v>0</v>
      </c>
      <c r="V32" s="44"/>
      <c r="W32" s="44"/>
      <c r="X32" s="44"/>
      <c r="Y32" s="44"/>
      <c r="Z32" s="44"/>
      <c r="AA32" s="44"/>
      <c r="AB32" s="44"/>
    </row>
    <row r="33" spans="1:28" s="35" customFormat="1">
      <c r="A33" s="44"/>
      <c r="B33" s="44"/>
      <c r="C33" s="44"/>
      <c r="D33" s="44"/>
      <c r="E33" s="44"/>
      <c r="F33" s="44"/>
      <c r="G33" s="44"/>
      <c r="H33" s="44"/>
      <c r="I33" s="44"/>
      <c r="J33" s="44"/>
      <c r="K33" s="44"/>
      <c r="L33" s="44"/>
      <c r="M33" s="51"/>
      <c r="N33" s="52"/>
      <c r="O33" s="52"/>
      <c r="P33" s="53">
        <v>45250</v>
      </c>
      <c r="Q33" s="58">
        <v>1.38</v>
      </c>
      <c r="R33" s="44"/>
      <c r="S33" s="53">
        <f t="shared" si="4"/>
        <v>45250</v>
      </c>
      <c r="T33" s="58">
        <f t="shared" si="6"/>
        <v>1.38</v>
      </c>
      <c r="U33" s="58">
        <f t="shared" si="5"/>
        <v>0</v>
      </c>
      <c r="V33" s="44"/>
      <c r="W33" s="44"/>
      <c r="X33" s="44"/>
      <c r="Y33" s="44"/>
      <c r="Z33" s="44"/>
      <c r="AA33" s="44"/>
      <c r="AB33" s="44"/>
    </row>
    <row r="34" spans="1:28" s="35" customFormat="1">
      <c r="A34" s="44"/>
      <c r="B34" s="44"/>
      <c r="C34" s="44"/>
      <c r="D34" s="44"/>
      <c r="E34" s="44"/>
      <c r="F34" s="44"/>
      <c r="G34" s="44"/>
      <c r="H34" s="44"/>
      <c r="I34" s="44"/>
      <c r="J34" s="44"/>
      <c r="K34" s="44"/>
      <c r="L34" s="44"/>
      <c r="M34" s="51"/>
      <c r="N34" s="52"/>
      <c r="O34" s="52"/>
      <c r="P34" s="53">
        <v>45280</v>
      </c>
      <c r="Q34" s="58">
        <v>1.34</v>
      </c>
      <c r="R34" s="44"/>
      <c r="S34" s="53">
        <f t="shared" si="4"/>
        <v>45280</v>
      </c>
      <c r="T34" s="58">
        <f t="shared" si="6"/>
        <v>1.34</v>
      </c>
      <c r="U34" s="58">
        <f t="shared" si="5"/>
        <v>0</v>
      </c>
      <c r="V34" s="44"/>
      <c r="W34" s="44"/>
      <c r="X34" s="44"/>
      <c r="Y34" s="44"/>
      <c r="Z34" s="44"/>
      <c r="AA34" s="44"/>
      <c r="AB34" s="44"/>
    </row>
    <row r="35" spans="1:28" s="35" customFormat="1">
      <c r="A35" s="44"/>
      <c r="B35" s="44"/>
      <c r="C35" s="44"/>
      <c r="D35" s="44"/>
      <c r="E35" s="44"/>
      <c r="F35" s="44"/>
      <c r="G35" s="44"/>
      <c r="H35" s="44"/>
      <c r="I35" s="44"/>
      <c r="J35" s="44"/>
      <c r="K35" s="44"/>
      <c r="L35" s="44"/>
      <c r="M35" s="51"/>
      <c r="N35" s="52"/>
      <c r="O35" s="52"/>
      <c r="P35" s="53">
        <v>45311</v>
      </c>
      <c r="Q35" s="58">
        <v>1.38</v>
      </c>
      <c r="R35" s="44"/>
      <c r="S35" s="53">
        <f t="shared" si="4"/>
        <v>45311</v>
      </c>
      <c r="T35" s="58">
        <f t="shared" si="6"/>
        <v>1.38</v>
      </c>
      <c r="U35" s="58">
        <f t="shared" si="5"/>
        <v>0</v>
      </c>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53"/>
      <c r="Q47" s="58"/>
      <c r="R47" s="44"/>
      <c r="S47" s="53"/>
      <c r="T47" s="58"/>
      <c r="U47" s="58"/>
      <c r="V47" s="44"/>
      <c r="W47" s="44"/>
      <c r="X47" s="44"/>
      <c r="Y47" s="44"/>
      <c r="Z47" s="44"/>
      <c r="AA47" s="44"/>
      <c r="AB47" s="44"/>
    </row>
    <row r="48" spans="1:28" s="34" customFormat="1" ht="140" hidden="1">
      <c r="A48" s="43">
        <v>3</v>
      </c>
      <c r="B48" s="43" t="str">
        <f t="shared" ref="B48:G48" si="7">B26</f>
        <v>成都迅翼卫通科技有限公司</v>
      </c>
      <c r="C48" s="43" t="str">
        <f t="shared" si="7"/>
        <v>成都市双流区行政审批局</v>
      </c>
      <c r="D48" s="43" t="str">
        <f t="shared" si="7"/>
        <v>91510108331951281C</v>
      </c>
      <c r="E48" s="43" t="str">
        <f t="shared" si="7"/>
        <v>其他有限责任公司</v>
      </c>
      <c r="F48" s="43" t="str">
        <f t="shared" si="7"/>
        <v>国家税务总局成都市双流区税务局</v>
      </c>
      <c r="G48" s="43" t="str">
        <f t="shared" si="7"/>
        <v>收款账号：4402211209100013039
开户行：中国工商银行龙潭工业园区支行</v>
      </c>
      <c r="H48" s="43" t="s">
        <v>65</v>
      </c>
      <c r="I48" s="43" t="s">
        <v>57</v>
      </c>
      <c r="J48" s="43" t="s">
        <v>66</v>
      </c>
      <c r="K48" s="43"/>
      <c r="L48" s="43"/>
      <c r="M48" s="49"/>
      <c r="N48" s="50"/>
      <c r="O48" s="50"/>
      <c r="P48" s="43"/>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53"/>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53"/>
      <c r="Q69" s="58"/>
      <c r="R69" s="44"/>
      <c r="S69" s="53"/>
      <c r="T69" s="58"/>
      <c r="U69" s="58"/>
      <c r="V69" s="44"/>
      <c r="W69" s="44"/>
      <c r="X69" s="44"/>
      <c r="Y69" s="44"/>
      <c r="Z69" s="44"/>
      <c r="AA69" s="44"/>
      <c r="AB69" s="44"/>
    </row>
    <row r="70" spans="1:28" s="34" customFormat="1" ht="140" hidden="1">
      <c r="A70" s="43">
        <v>4</v>
      </c>
      <c r="B70" s="43" t="str">
        <f t="shared" ref="B70:G70" si="8">B48</f>
        <v>成都迅翼卫通科技有限公司</v>
      </c>
      <c r="C70" s="43" t="str">
        <f t="shared" si="8"/>
        <v>成都市双流区行政审批局</v>
      </c>
      <c r="D70" s="43" t="str">
        <f t="shared" si="8"/>
        <v>91510108331951281C</v>
      </c>
      <c r="E70" s="43" t="str">
        <f t="shared" si="8"/>
        <v>其他有限责任公司</v>
      </c>
      <c r="F70" s="43" t="str">
        <f t="shared" si="8"/>
        <v>国家税务总局成都市双流区税务局</v>
      </c>
      <c r="G70" s="43" t="str">
        <f t="shared" si="8"/>
        <v>收款账号：4402211209100013039
开户行：中国工商银行龙潭工业园区支行</v>
      </c>
      <c r="H70" s="43"/>
      <c r="I70" s="43"/>
      <c r="J70" s="43"/>
      <c r="K70" s="43"/>
      <c r="L70" s="43"/>
      <c r="M70" s="49"/>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53"/>
      <c r="Q91" s="58"/>
      <c r="R91" s="44"/>
      <c r="S91" s="53"/>
      <c r="T91" s="58"/>
      <c r="U91" s="58"/>
      <c r="V91" s="44"/>
      <c r="W91" s="44"/>
      <c r="X91" s="44"/>
      <c r="Y91" s="44"/>
      <c r="Z91" s="44"/>
      <c r="AA91" s="44"/>
      <c r="AB91" s="44"/>
    </row>
    <row r="92" spans="1:28" s="34" customFormat="1" ht="140" hidden="1">
      <c r="A92" s="43">
        <v>5</v>
      </c>
      <c r="B92" s="43" t="str">
        <f t="shared" ref="B92:G92" si="9">B70</f>
        <v>成都迅翼卫通科技有限公司</v>
      </c>
      <c r="C92" s="43" t="str">
        <f t="shared" si="9"/>
        <v>成都市双流区行政审批局</v>
      </c>
      <c r="D92" s="43" t="str">
        <f t="shared" si="9"/>
        <v>91510108331951281C</v>
      </c>
      <c r="E92" s="43" t="str">
        <f t="shared" si="9"/>
        <v>其他有限责任公司</v>
      </c>
      <c r="F92" s="43" t="str">
        <f t="shared" si="9"/>
        <v>国家税务总局成都市双流区税务局</v>
      </c>
      <c r="G92" s="43" t="str">
        <f t="shared" si="9"/>
        <v>收款账号：4402211209100013039
开户行：中国工商银行龙潭工业园区支行</v>
      </c>
      <c r="H92" s="43"/>
      <c r="I92" s="43"/>
      <c r="J92" s="43"/>
      <c r="K92" s="43"/>
      <c r="L92" s="43"/>
      <c r="M92" s="49"/>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500</v>
      </c>
      <c r="L114" s="43"/>
      <c r="M114" s="49"/>
      <c r="N114" s="50"/>
      <c r="O114" s="50"/>
      <c r="P114" s="43"/>
      <c r="Q114" s="43"/>
      <c r="R114" s="43">
        <f>R92+R70+R48+R26++R4</f>
        <v>4.66</v>
      </c>
      <c r="S114" s="43"/>
      <c r="T114" s="43"/>
      <c r="U114" s="43"/>
      <c r="V114" s="43"/>
      <c r="W114" s="43"/>
      <c r="X114" s="43"/>
      <c r="Y114" s="43">
        <f>Y92+Y70+Y48+Y26++Y4</f>
        <v>4.66</v>
      </c>
      <c r="Z114" s="43"/>
      <c r="AA114" s="43"/>
      <c r="AB114" s="43"/>
    </row>
    <row r="115" spans="1:28">
      <c r="I115" s="36" t="s">
        <v>49</v>
      </c>
      <c r="K115" s="36">
        <f>IF(K114&gt;3000,K116,K114)</f>
        <v>500</v>
      </c>
    </row>
    <row r="116" spans="1:28">
      <c r="K116" s="36" t="s">
        <v>50</v>
      </c>
    </row>
  </sheetData>
  <autoFilter ref="A3:AD12" xr:uid="{00000000-0009-0000-0000-0000CD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filterMode="1"/>
  <dimension ref="A1:AD116"/>
  <sheetViews>
    <sheetView zoomScale="80" zoomScaleNormal="80" workbookViewId="0">
      <pane ySplit="3" topLeftCell="A4" activePane="bottomLeft" state="frozen"/>
      <selection pane="bottomLeft" activeCell="C29" sqref="C29"/>
    </sheetView>
  </sheetViews>
  <sheetFormatPr defaultColWidth="8.58203125" defaultRowHeight="14"/>
  <cols>
    <col min="1" max="6" width="8.58203125" style="36"/>
    <col min="7" max="7" width="9" style="36" customWidth="1"/>
    <col min="8" max="12" width="8.58203125" style="36"/>
    <col min="13" max="13" width="8.58203125" style="37"/>
    <col min="14" max="14" width="10.75" style="38" customWidth="1"/>
    <col min="15" max="15" width="11.08203125" style="38" customWidth="1"/>
    <col min="16" max="16" width="9.83203125" style="36" customWidth="1"/>
    <col min="17" max="18" width="8.58203125" style="36"/>
    <col min="19" max="19" width="9.83203125" style="36" customWidth="1"/>
    <col min="20" max="21" width="8.58203125" style="36"/>
    <col min="22" max="22" width="11.5" style="36" customWidth="1"/>
    <col min="23" max="24" width="8.58203125" style="36"/>
    <col min="25" max="25" width="11.75" style="36" customWidth="1"/>
    <col min="26" max="28" width="8.58203125" style="36"/>
    <col min="29" max="29" width="8.58203125" style="36" hidden="1" customWidth="1"/>
    <col min="30" max="30" width="11.75" style="36" customWidth="1"/>
    <col min="31" max="16384" width="8.58203125" style="36"/>
  </cols>
  <sheetData>
    <row r="1" spans="1:30" ht="25">
      <c r="B1" s="163" t="str">
        <f>B4&amp;AC1</f>
        <v>成都晨光博达新材料股份有限公司审计明细表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6" t="s">
        <v>16</v>
      </c>
      <c r="N3" s="47" t="s">
        <v>17</v>
      </c>
      <c r="O3" s="47" t="s">
        <v>18</v>
      </c>
      <c r="P3" s="48"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12">
      <c r="A4" s="43">
        <v>1</v>
      </c>
      <c r="B4" s="43" t="s">
        <v>598</v>
      </c>
      <c r="C4" s="43" t="s">
        <v>52</v>
      </c>
      <c r="D4" s="43" t="s">
        <v>1688</v>
      </c>
      <c r="E4" s="43" t="s">
        <v>380</v>
      </c>
      <c r="F4" s="43" t="s">
        <v>787</v>
      </c>
      <c r="G4" s="43" t="s">
        <v>1689</v>
      </c>
      <c r="H4" s="43" t="s">
        <v>71</v>
      </c>
      <c r="I4" s="43" t="s">
        <v>1690</v>
      </c>
      <c r="J4" s="43" t="s">
        <v>1691</v>
      </c>
      <c r="K4" s="43">
        <v>1000</v>
      </c>
      <c r="L4" s="43" t="s">
        <v>1692</v>
      </c>
      <c r="M4" s="49" t="s">
        <v>1693</v>
      </c>
      <c r="N4" s="68">
        <v>45132</v>
      </c>
      <c r="O4" s="50">
        <v>45291</v>
      </c>
      <c r="P4" s="43">
        <f>P10-N4</f>
        <v>179</v>
      </c>
      <c r="Q4" s="55">
        <f>SUM(Q5:Q25)</f>
        <v>19.399999999999999</v>
      </c>
      <c r="R4" s="55">
        <v>6.57</v>
      </c>
      <c r="S4" s="43"/>
      <c r="T4" s="55">
        <f>SUM(T5:T25)</f>
        <v>19.399999999999999</v>
      </c>
      <c r="U4" s="56">
        <v>3.9E-2</v>
      </c>
      <c r="V4" s="50"/>
      <c r="W4" s="43" t="s">
        <v>42</v>
      </c>
      <c r="X4" s="57">
        <v>1.4999999999999999E-2</v>
      </c>
      <c r="Y4" s="43">
        <f>ROUNDDOWN(IF((O4-N4+1)*K4*X4/365&gt;R4,R4,(O4-N4+1)*K4*X4/365),2)</f>
        <v>6.57</v>
      </c>
      <c r="Z4" s="55">
        <f>R4-Y4</f>
        <v>0</v>
      </c>
      <c r="AA4" s="55"/>
      <c r="AB4" s="43" t="s">
        <v>61</v>
      </c>
      <c r="AD4" s="61">
        <f>(O4-N4+1)*K4*X4/365</f>
        <v>6.5753000000000004</v>
      </c>
    </row>
    <row r="5" spans="1:30" s="35" customFormat="1" hidden="1">
      <c r="A5" s="44"/>
      <c r="B5" s="44"/>
      <c r="C5" s="44"/>
      <c r="D5" s="44"/>
      <c r="E5" s="44"/>
      <c r="F5" s="44"/>
      <c r="G5" s="44"/>
      <c r="H5" s="44"/>
      <c r="I5" s="44"/>
      <c r="J5" s="44"/>
      <c r="K5" s="44"/>
      <c r="L5" s="44"/>
      <c r="M5" s="51"/>
      <c r="N5" s="52"/>
      <c r="O5" s="50">
        <v>45680</v>
      </c>
      <c r="P5" s="53">
        <v>45158</v>
      </c>
      <c r="Q5" s="58">
        <v>2.82</v>
      </c>
      <c r="R5" s="44"/>
      <c r="S5" s="53">
        <f t="shared" ref="S5:S10" si="0">P5</f>
        <v>45158</v>
      </c>
      <c r="T5" s="58">
        <f>(S5-N4)/360*$U$4*$K$4</f>
        <v>2.82</v>
      </c>
      <c r="U5" s="58">
        <f t="shared" ref="U5:U10" si="1">T5-Q5</f>
        <v>0</v>
      </c>
      <c r="V5" s="52"/>
      <c r="W5" s="44"/>
      <c r="X5" s="44"/>
      <c r="Y5" s="44"/>
      <c r="Z5" s="44"/>
      <c r="AA5" s="44"/>
      <c r="AB5" s="44"/>
    </row>
    <row r="6" spans="1:30" s="35" customFormat="1" hidden="1">
      <c r="A6" s="44"/>
      <c r="B6" s="44"/>
      <c r="C6" s="44"/>
      <c r="D6" s="44"/>
      <c r="E6" s="44"/>
      <c r="F6" s="44"/>
      <c r="G6" s="44"/>
      <c r="H6" s="44"/>
      <c r="I6" s="44"/>
      <c r="J6" s="44"/>
      <c r="K6" s="44"/>
      <c r="L6" s="44"/>
      <c r="M6" s="51"/>
      <c r="N6" s="52"/>
      <c r="O6" s="52"/>
      <c r="P6" s="53">
        <v>45189</v>
      </c>
      <c r="Q6" s="69">
        <v>3.36</v>
      </c>
      <c r="R6" s="44"/>
      <c r="S6" s="53">
        <f t="shared" si="0"/>
        <v>45189</v>
      </c>
      <c r="T6" s="58">
        <f>(S6-S5)*$K$4*$U$4/360</f>
        <v>3.36</v>
      </c>
      <c r="U6" s="58">
        <f t="shared" si="1"/>
        <v>0</v>
      </c>
      <c r="V6" s="44"/>
      <c r="W6" s="44"/>
      <c r="X6" s="44"/>
      <c r="Y6" s="44"/>
      <c r="Z6" s="44"/>
      <c r="AA6" s="44"/>
      <c r="AB6" s="44"/>
    </row>
    <row r="7" spans="1:30" s="35" customFormat="1" hidden="1">
      <c r="A7" s="44"/>
      <c r="B7" s="44"/>
      <c r="C7" s="44"/>
      <c r="D7" s="44"/>
      <c r="E7" s="44"/>
      <c r="F7" s="44"/>
      <c r="G7" s="44"/>
      <c r="H7" s="44"/>
      <c r="I7" s="44"/>
      <c r="J7" s="44"/>
      <c r="K7" s="44"/>
      <c r="L7" s="44"/>
      <c r="M7" s="51"/>
      <c r="N7" s="52"/>
      <c r="O7" s="52"/>
      <c r="P7" s="53">
        <v>45219</v>
      </c>
      <c r="Q7" s="58">
        <v>3.25</v>
      </c>
      <c r="R7" s="44"/>
      <c r="S7" s="53">
        <f t="shared" si="0"/>
        <v>45219</v>
      </c>
      <c r="T7" s="58">
        <f>(S7-S6)*$K$4*$U$4/360</f>
        <v>3.25</v>
      </c>
      <c r="U7" s="58">
        <f t="shared" si="1"/>
        <v>0</v>
      </c>
      <c r="V7" s="44"/>
      <c r="W7" s="44"/>
      <c r="X7" s="44"/>
      <c r="Y7" s="44"/>
      <c r="Z7" s="44"/>
      <c r="AA7" s="44"/>
      <c r="AB7" s="44"/>
    </row>
    <row r="8" spans="1:30" s="35" customFormat="1" hidden="1">
      <c r="A8" s="44"/>
      <c r="B8" s="44"/>
      <c r="C8" s="44"/>
      <c r="D8" s="44"/>
      <c r="E8" s="44"/>
      <c r="F8" s="44"/>
      <c r="G8" s="44"/>
      <c r="H8" s="44"/>
      <c r="I8" s="44"/>
      <c r="J8" s="44"/>
      <c r="K8" s="44"/>
      <c r="L8" s="44"/>
      <c r="M8" s="51"/>
      <c r="N8" s="52"/>
      <c r="O8" s="52"/>
      <c r="P8" s="53">
        <v>45250</v>
      </c>
      <c r="Q8" s="58">
        <v>3.36</v>
      </c>
      <c r="R8" s="44"/>
      <c r="S8" s="53">
        <f t="shared" si="0"/>
        <v>45250</v>
      </c>
      <c r="T8" s="58">
        <f>(S8-S7)*$K$4*$U$4/360</f>
        <v>3.36</v>
      </c>
      <c r="U8" s="58">
        <f t="shared" si="1"/>
        <v>0</v>
      </c>
      <c r="V8" s="44"/>
      <c r="W8" s="44"/>
      <c r="X8" s="44"/>
      <c r="Y8" s="44"/>
      <c r="Z8" s="44"/>
      <c r="AA8" s="44"/>
      <c r="AB8" s="44"/>
    </row>
    <row r="9" spans="1:30" s="35" customFormat="1" hidden="1">
      <c r="A9" s="44"/>
      <c r="B9" s="44"/>
      <c r="C9" s="44"/>
      <c r="D9" s="44"/>
      <c r="E9" s="44"/>
      <c r="F9" s="44"/>
      <c r="G9" s="44"/>
      <c r="H9" s="44"/>
      <c r="I9" s="44"/>
      <c r="J9" s="44"/>
      <c r="K9" s="44"/>
      <c r="L9" s="44"/>
      <c r="M9" s="51"/>
      <c r="N9" s="52"/>
      <c r="O9" s="52"/>
      <c r="P9" s="53">
        <v>45280</v>
      </c>
      <c r="Q9" s="58">
        <v>3.25</v>
      </c>
      <c r="R9" s="44"/>
      <c r="S9" s="53">
        <f t="shared" si="0"/>
        <v>45280</v>
      </c>
      <c r="T9" s="58">
        <f>(S9-S8)*$K$4*$U$4/360</f>
        <v>3.25</v>
      </c>
      <c r="U9" s="58">
        <f t="shared" si="1"/>
        <v>0</v>
      </c>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53">
        <v>45311</v>
      </c>
      <c r="Q10" s="58">
        <v>3.36</v>
      </c>
      <c r="R10" s="44"/>
      <c r="S10" s="53">
        <f t="shared" si="0"/>
        <v>45311</v>
      </c>
      <c r="T10" s="58">
        <f>(S10-S9)*$K$4*$U$4/360</f>
        <v>3.36</v>
      </c>
      <c r="U10" s="58">
        <f t="shared" si="1"/>
        <v>0</v>
      </c>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53"/>
      <c r="Q11" s="58"/>
      <c r="R11" s="44"/>
      <c r="S11" s="53"/>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53"/>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53"/>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53"/>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53"/>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53"/>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51"/>
      <c r="N17" s="52"/>
      <c r="O17" s="52"/>
      <c r="P17" s="53"/>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53"/>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53"/>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53"/>
      <c r="Q25" s="58"/>
      <c r="R25" s="44"/>
      <c r="S25" s="53"/>
      <c r="T25" s="58"/>
      <c r="U25" s="58"/>
      <c r="V25" s="44"/>
      <c r="W25" s="44"/>
      <c r="X25" s="44"/>
      <c r="Y25" s="44"/>
      <c r="Z25" s="44"/>
      <c r="AA25" s="44"/>
      <c r="AB25" s="44"/>
    </row>
    <row r="26" spans="1:30" s="34" customFormat="1" ht="112">
      <c r="A26" s="43">
        <v>2</v>
      </c>
      <c r="B26" s="43" t="str">
        <f t="shared" ref="B26:G26" si="2">B4</f>
        <v>成都晨光博达新材料股份有限公司</v>
      </c>
      <c r="C26" s="43" t="str">
        <f t="shared" si="2"/>
        <v>成都市市场监督管理局</v>
      </c>
      <c r="D26" s="43" t="str">
        <f t="shared" si="2"/>
        <v>91510122765389046J</v>
      </c>
      <c r="E26" s="43" t="str">
        <f t="shared" si="2"/>
        <v>其他股份有限公司(非上市)</v>
      </c>
      <c r="F26" s="43" t="str">
        <f t="shared" si="2"/>
        <v>国家税务总局成都市双流区税务局</v>
      </c>
      <c r="G26" s="43" t="str">
        <f t="shared" si="2"/>
        <v xml:space="preserve">收款账号：51001527908050012384
开户行：建行双流分行 </v>
      </c>
      <c r="H26" s="43" t="s">
        <v>71</v>
      </c>
      <c r="I26" s="43" t="s">
        <v>1690</v>
      </c>
      <c r="J26" s="43" t="s">
        <v>1691</v>
      </c>
      <c r="K26" s="43">
        <v>500</v>
      </c>
      <c r="L26" s="43" t="s">
        <v>1694</v>
      </c>
      <c r="M26" s="49" t="s">
        <v>1695</v>
      </c>
      <c r="N26" s="68">
        <v>45132</v>
      </c>
      <c r="O26" s="50">
        <v>45291</v>
      </c>
      <c r="P26" s="43">
        <f>P32-N26</f>
        <v>179</v>
      </c>
      <c r="Q26" s="55">
        <f>SUM(Q27:Q47)</f>
        <v>9.7100000000000009</v>
      </c>
      <c r="R26" s="43">
        <v>3.29</v>
      </c>
      <c r="S26" s="43"/>
      <c r="T26" s="43">
        <f>SUM(T27:T47)</f>
        <v>9.7100000000000009</v>
      </c>
      <c r="U26" s="56">
        <v>3.9E-2</v>
      </c>
      <c r="V26" s="50"/>
      <c r="W26" s="43" t="s">
        <v>42</v>
      </c>
      <c r="X26" s="57">
        <v>1.4999999999999999E-2</v>
      </c>
      <c r="Y26" s="43">
        <f>ROUNDDOWN(IF((O26-N26+1)*K26*X26/365&gt;R26,R26,(O26-N26+1)*K26*X26/365),2)</f>
        <v>3.28</v>
      </c>
      <c r="Z26" s="43">
        <f>R26-Y26</f>
        <v>1.00000000000002E-2</v>
      </c>
      <c r="AA26" s="43" t="s">
        <v>1696</v>
      </c>
      <c r="AB26" s="43" t="s">
        <v>61</v>
      </c>
      <c r="AD26" s="34">
        <f>(O26-N26+1)*K26*X26/365</f>
        <v>3.2876712328767099</v>
      </c>
    </row>
    <row r="27" spans="1:30" s="35" customFormat="1">
      <c r="A27" s="44"/>
      <c r="B27" s="44"/>
      <c r="C27" s="44"/>
      <c r="D27" s="44"/>
      <c r="E27" s="44"/>
      <c r="F27" s="44"/>
      <c r="G27" s="44"/>
      <c r="H27" s="44"/>
      <c r="I27" s="44"/>
      <c r="J27" s="44"/>
      <c r="K27" s="44"/>
      <c r="L27" s="44"/>
      <c r="M27" s="51"/>
      <c r="N27" s="52"/>
      <c r="O27" s="50">
        <v>45680</v>
      </c>
      <c r="P27" s="53">
        <v>45158</v>
      </c>
      <c r="Q27" s="58">
        <v>1.41</v>
      </c>
      <c r="R27" s="44"/>
      <c r="S27" s="53">
        <f t="shared" ref="S27:S32" si="3">P27</f>
        <v>45158</v>
      </c>
      <c r="T27" s="58">
        <f>(S27-N26)/360*$U$26*$K$26</f>
        <v>1.41</v>
      </c>
      <c r="U27" s="58">
        <f t="shared" ref="U27:U32" si="4">T27-Q27</f>
        <v>0</v>
      </c>
      <c r="V27" s="52"/>
      <c r="W27" s="44"/>
      <c r="X27" s="44"/>
      <c r="Y27" s="62"/>
      <c r="Z27" s="44"/>
      <c r="AA27" s="44"/>
      <c r="AB27" s="44"/>
    </row>
    <row r="28" spans="1:30" s="35" customFormat="1">
      <c r="A28" s="44"/>
      <c r="B28" s="44"/>
      <c r="C28" s="44"/>
      <c r="D28" s="44"/>
      <c r="E28" s="44"/>
      <c r="F28" s="44"/>
      <c r="G28" s="44"/>
      <c r="H28" s="44"/>
      <c r="I28" s="44"/>
      <c r="J28" s="44"/>
      <c r="K28" s="44"/>
      <c r="L28" s="44"/>
      <c r="M28" s="51"/>
      <c r="N28" s="52"/>
      <c r="O28" s="52"/>
      <c r="P28" s="53">
        <v>45189</v>
      </c>
      <c r="Q28" s="58">
        <v>1.68</v>
      </c>
      <c r="R28" s="44"/>
      <c r="S28" s="53">
        <f t="shared" si="3"/>
        <v>45189</v>
      </c>
      <c r="T28" s="58">
        <f>(S28-S27)*$U$26*$K$26/360</f>
        <v>1.68</v>
      </c>
      <c r="U28" s="58">
        <f t="shared" si="4"/>
        <v>0</v>
      </c>
      <c r="V28" s="44"/>
      <c r="W28" s="44"/>
      <c r="X28" s="44"/>
      <c r="Y28" s="62"/>
      <c r="Z28" s="44"/>
      <c r="AA28" s="44"/>
      <c r="AB28" s="44"/>
    </row>
    <row r="29" spans="1:30" s="35" customFormat="1">
      <c r="A29" s="44"/>
      <c r="B29" s="44"/>
      <c r="C29" s="44"/>
      <c r="D29" s="44"/>
      <c r="E29" s="44"/>
      <c r="F29" s="44"/>
      <c r="G29" s="44"/>
      <c r="H29" s="44"/>
      <c r="I29" s="44"/>
      <c r="J29" s="44"/>
      <c r="K29" s="44"/>
      <c r="L29" s="44"/>
      <c r="M29" s="51"/>
      <c r="N29" s="52"/>
      <c r="O29" s="52"/>
      <c r="P29" s="53">
        <v>45219</v>
      </c>
      <c r="Q29" s="69">
        <v>1.63</v>
      </c>
      <c r="R29" s="44"/>
      <c r="S29" s="53">
        <f t="shared" si="3"/>
        <v>45219</v>
      </c>
      <c r="T29" s="58">
        <f>(S29-S28)*$U$26*$K$26/360</f>
        <v>1.63</v>
      </c>
      <c r="U29" s="58">
        <f t="shared" si="4"/>
        <v>0</v>
      </c>
      <c r="V29" s="44"/>
      <c r="W29" s="44"/>
      <c r="X29" s="44"/>
      <c r="Y29" s="44"/>
      <c r="Z29" s="44"/>
      <c r="AA29" s="44"/>
      <c r="AB29" s="44"/>
    </row>
    <row r="30" spans="1:30" s="35" customFormat="1">
      <c r="A30" s="44"/>
      <c r="B30" s="44"/>
      <c r="C30" s="44"/>
      <c r="D30" s="44"/>
      <c r="E30" s="44"/>
      <c r="F30" s="44"/>
      <c r="G30" s="44"/>
      <c r="H30" s="44"/>
      <c r="I30" s="44"/>
      <c r="J30" s="44"/>
      <c r="K30" s="44"/>
      <c r="L30" s="44"/>
      <c r="M30" s="51"/>
      <c r="N30" s="52"/>
      <c r="O30" s="52"/>
      <c r="P30" s="53">
        <v>45250</v>
      </c>
      <c r="Q30" s="58">
        <v>1.68</v>
      </c>
      <c r="R30" s="44"/>
      <c r="S30" s="53">
        <f t="shared" si="3"/>
        <v>45250</v>
      </c>
      <c r="T30" s="58">
        <f>(S30-S29)*$U$26*$K$26/360</f>
        <v>1.68</v>
      </c>
      <c r="U30" s="58">
        <f t="shared" si="4"/>
        <v>0</v>
      </c>
      <c r="V30" s="44"/>
      <c r="W30" s="44"/>
      <c r="X30" s="44"/>
      <c r="Y30" s="44"/>
      <c r="Z30" s="44"/>
      <c r="AA30" s="44"/>
      <c r="AB30" s="44"/>
    </row>
    <row r="31" spans="1:30" s="35" customFormat="1">
      <c r="A31" s="44"/>
      <c r="B31" s="44"/>
      <c r="C31" s="44"/>
      <c r="D31" s="44"/>
      <c r="E31" s="44"/>
      <c r="F31" s="44"/>
      <c r="G31" s="44"/>
      <c r="H31" s="44"/>
      <c r="I31" s="44"/>
      <c r="J31" s="44"/>
      <c r="K31" s="44"/>
      <c r="L31" s="44"/>
      <c r="M31" s="51"/>
      <c r="N31" s="52"/>
      <c r="O31" s="52"/>
      <c r="P31" s="53">
        <v>45280</v>
      </c>
      <c r="Q31" s="58">
        <v>1.63</v>
      </c>
      <c r="R31" s="44"/>
      <c r="S31" s="53">
        <f t="shared" si="3"/>
        <v>45280</v>
      </c>
      <c r="T31" s="58">
        <f>(S31-S30)*$U$26*$K$26/360</f>
        <v>1.63</v>
      </c>
      <c r="U31" s="58">
        <f t="shared" si="4"/>
        <v>0</v>
      </c>
      <c r="V31" s="44"/>
      <c r="W31" s="44"/>
      <c r="X31" s="44"/>
      <c r="Y31" s="44"/>
      <c r="Z31" s="44"/>
      <c r="AA31" s="44"/>
      <c r="AB31" s="44"/>
    </row>
    <row r="32" spans="1:30" s="35" customFormat="1">
      <c r="A32" s="44"/>
      <c r="B32" s="44"/>
      <c r="C32" s="44"/>
      <c r="D32" s="44"/>
      <c r="E32" s="44"/>
      <c r="F32" s="44"/>
      <c r="G32" s="44"/>
      <c r="H32" s="44"/>
      <c r="I32" s="44"/>
      <c r="J32" s="44"/>
      <c r="K32" s="44"/>
      <c r="L32" s="44"/>
      <c r="M32" s="51"/>
      <c r="N32" s="52"/>
      <c r="O32" s="52"/>
      <c r="P32" s="53">
        <v>45311</v>
      </c>
      <c r="Q32" s="58">
        <v>1.68</v>
      </c>
      <c r="R32" s="44"/>
      <c r="S32" s="53">
        <f t="shared" si="3"/>
        <v>45311</v>
      </c>
      <c r="T32" s="58">
        <f>(S32-S31)*$U$26*$K$26/360</f>
        <v>1.68</v>
      </c>
      <c r="U32" s="58">
        <f t="shared" si="4"/>
        <v>0</v>
      </c>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53"/>
      <c r="Q47" s="58"/>
      <c r="R47" s="44"/>
      <c r="S47" s="53"/>
      <c r="T47" s="58"/>
      <c r="U47" s="58"/>
      <c r="V47" s="44"/>
      <c r="W47" s="44"/>
      <c r="X47" s="44"/>
      <c r="Y47" s="44"/>
      <c r="Z47" s="44"/>
      <c r="AA47" s="44"/>
      <c r="AB47" s="44"/>
    </row>
    <row r="48" spans="1:28" s="34" customFormat="1" ht="112" hidden="1">
      <c r="A48" s="43">
        <v>3</v>
      </c>
      <c r="B48" s="43" t="str">
        <f t="shared" ref="B48:G48" si="5">B26</f>
        <v>成都晨光博达新材料股份有限公司</v>
      </c>
      <c r="C48" s="43" t="str">
        <f t="shared" si="5"/>
        <v>成都市市场监督管理局</v>
      </c>
      <c r="D48" s="43" t="str">
        <f t="shared" si="5"/>
        <v>91510122765389046J</v>
      </c>
      <c r="E48" s="43" t="str">
        <f t="shared" si="5"/>
        <v>其他股份有限公司(非上市)</v>
      </c>
      <c r="F48" s="43" t="str">
        <f t="shared" si="5"/>
        <v>国家税务总局成都市双流区税务局</v>
      </c>
      <c r="G48" s="43" t="str">
        <f t="shared" si="5"/>
        <v xml:space="preserve">收款账号：51001527908050012384
开户行：建行双流分行 </v>
      </c>
      <c r="H48" s="43" t="s">
        <v>65</v>
      </c>
      <c r="I48" s="43" t="s">
        <v>57</v>
      </c>
      <c r="J48" s="43" t="s">
        <v>66</v>
      </c>
      <c r="K48" s="43"/>
      <c r="L48" s="43"/>
      <c r="M48" s="49"/>
      <c r="N48" s="50"/>
      <c r="O48" s="50"/>
      <c r="P48" s="43"/>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53"/>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53"/>
      <c r="Q69" s="58"/>
      <c r="R69" s="44"/>
      <c r="S69" s="53"/>
      <c r="T69" s="58"/>
      <c r="U69" s="58"/>
      <c r="V69" s="44"/>
      <c r="W69" s="44"/>
      <c r="X69" s="44"/>
      <c r="Y69" s="44"/>
      <c r="Z69" s="44"/>
      <c r="AA69" s="44"/>
      <c r="AB69" s="44"/>
    </row>
    <row r="70" spans="1:28" s="34" customFormat="1" ht="112" hidden="1">
      <c r="A70" s="43">
        <v>4</v>
      </c>
      <c r="B70" s="43" t="str">
        <f t="shared" ref="B70:G70" si="6">B48</f>
        <v>成都晨光博达新材料股份有限公司</v>
      </c>
      <c r="C70" s="43" t="str">
        <f t="shared" si="6"/>
        <v>成都市市场监督管理局</v>
      </c>
      <c r="D70" s="43" t="str">
        <f t="shared" si="6"/>
        <v>91510122765389046J</v>
      </c>
      <c r="E70" s="43" t="str">
        <f t="shared" si="6"/>
        <v>其他股份有限公司(非上市)</v>
      </c>
      <c r="F70" s="43" t="str">
        <f t="shared" si="6"/>
        <v>国家税务总局成都市双流区税务局</v>
      </c>
      <c r="G70" s="43" t="str">
        <f t="shared" si="6"/>
        <v xml:space="preserve">收款账号：51001527908050012384
开户行：建行双流分行 </v>
      </c>
      <c r="H70" s="43"/>
      <c r="I70" s="43"/>
      <c r="J70" s="43"/>
      <c r="K70" s="43"/>
      <c r="L70" s="43"/>
      <c r="M70" s="49"/>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53"/>
      <c r="Q91" s="58"/>
      <c r="R91" s="44"/>
      <c r="S91" s="53"/>
      <c r="T91" s="58"/>
      <c r="U91" s="58"/>
      <c r="V91" s="44"/>
      <c r="W91" s="44"/>
      <c r="X91" s="44"/>
      <c r="Y91" s="44"/>
      <c r="Z91" s="44"/>
      <c r="AA91" s="44"/>
      <c r="AB91" s="44"/>
    </row>
    <row r="92" spans="1:28" s="34" customFormat="1" ht="112" hidden="1">
      <c r="A92" s="43">
        <v>5</v>
      </c>
      <c r="B92" s="43" t="str">
        <f t="shared" ref="B92:G92" si="7">B70</f>
        <v>成都晨光博达新材料股份有限公司</v>
      </c>
      <c r="C92" s="43" t="str">
        <f t="shared" si="7"/>
        <v>成都市市场监督管理局</v>
      </c>
      <c r="D92" s="43" t="str">
        <f t="shared" si="7"/>
        <v>91510122765389046J</v>
      </c>
      <c r="E92" s="43" t="str">
        <f t="shared" si="7"/>
        <v>其他股份有限公司(非上市)</v>
      </c>
      <c r="F92" s="43" t="str">
        <f t="shared" si="7"/>
        <v>国家税务总局成都市双流区税务局</v>
      </c>
      <c r="G92" s="43" t="str">
        <f t="shared" si="7"/>
        <v xml:space="preserve">收款账号：51001527908050012384
开户行：建行双流分行 </v>
      </c>
      <c r="H92" s="43"/>
      <c r="I92" s="43"/>
      <c r="J92" s="43"/>
      <c r="K92" s="43"/>
      <c r="L92" s="43"/>
      <c r="M92" s="49"/>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1500</v>
      </c>
      <c r="L114" s="43"/>
      <c r="M114" s="49"/>
      <c r="N114" s="50"/>
      <c r="O114" s="50"/>
      <c r="P114" s="43"/>
      <c r="Q114" s="43"/>
      <c r="R114" s="43">
        <f>R92+R70+R48+R26++R4</f>
        <v>9.86</v>
      </c>
      <c r="S114" s="43"/>
      <c r="T114" s="43"/>
      <c r="U114" s="43"/>
      <c r="V114" s="43"/>
      <c r="W114" s="43"/>
      <c r="X114" s="43"/>
      <c r="Y114" s="43">
        <f>Y92+Y70+Y48+Y26++Y4</f>
        <v>9.85</v>
      </c>
      <c r="Z114" s="43"/>
      <c r="AA114" s="43"/>
      <c r="AB114" s="43"/>
    </row>
    <row r="115" spans="1:28">
      <c r="I115" s="36" t="s">
        <v>49</v>
      </c>
      <c r="K115" s="36">
        <f>IF(K114&gt;3000,K116,K114)</f>
        <v>1500</v>
      </c>
    </row>
    <row r="116" spans="1:28">
      <c r="K116" s="36" t="s">
        <v>50</v>
      </c>
    </row>
  </sheetData>
  <autoFilter ref="A3:AD10" xr:uid="{00000000-0009-0000-0000-0000CE000000}">
    <filterColumn colId="1">
      <customFilters>
        <customFilter operator="notEqual" val=""/>
      </customFilters>
    </filterColumn>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AC117"/>
  <sheetViews>
    <sheetView topLeftCell="C1" zoomScale="60" zoomScaleNormal="60" workbookViewId="0">
      <pane ySplit="3" topLeftCell="A4" activePane="bottomLeft" state="frozen"/>
      <selection pane="bottomLeft" activeCell="N27" sqref="N27:AB27"/>
    </sheetView>
  </sheetViews>
  <sheetFormatPr defaultColWidth="9" defaultRowHeight="14"/>
  <cols>
    <col min="1" max="6" width="9" style="36"/>
    <col min="7" max="7" width="9" style="36" hidden="1" customWidth="1"/>
    <col min="8" max="13" width="9" style="36"/>
    <col min="14" max="14" width="14.25" style="38" customWidth="1"/>
    <col min="15" max="15" width="15.58203125" style="38" customWidth="1"/>
    <col min="16" max="16" width="10.25" style="36" customWidth="1"/>
    <col min="17" max="18" width="9" style="36"/>
    <col min="19" max="19" width="9.83203125" style="36" customWidth="1"/>
    <col min="20" max="20" width="9.5" style="36" customWidth="1"/>
    <col min="21" max="21" width="9" style="36"/>
    <col min="22" max="22" width="11.5" style="36" customWidth="1"/>
    <col min="23" max="28" width="9" style="36"/>
    <col min="29" max="29" width="9" style="36" hidden="1" customWidth="1"/>
    <col min="30" max="16384" width="9" style="36"/>
  </cols>
  <sheetData>
    <row r="1" spans="1:29" ht="25">
      <c r="B1" s="163" t="str">
        <f>B4&amp;AC1</f>
        <v>微网优联科技(成都)有限公司审计明细表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70">
      <c r="A4" s="43">
        <v>1</v>
      </c>
      <c r="B4" s="43" t="s">
        <v>734</v>
      </c>
      <c r="C4" s="43" t="s">
        <v>1547</v>
      </c>
      <c r="D4" s="43" t="s">
        <v>1697</v>
      </c>
      <c r="E4" s="43" t="s">
        <v>121</v>
      </c>
      <c r="F4" s="43" t="s">
        <v>1549</v>
      </c>
      <c r="G4" s="43" t="s">
        <v>1565</v>
      </c>
      <c r="H4" s="43" t="s">
        <v>156</v>
      </c>
      <c r="I4" s="43" t="s">
        <v>342</v>
      </c>
      <c r="J4" s="43" t="s">
        <v>228</v>
      </c>
      <c r="K4" s="43">
        <v>2000</v>
      </c>
      <c r="L4" s="43" t="s">
        <v>1698</v>
      </c>
      <c r="M4" s="49" t="s">
        <v>1699</v>
      </c>
      <c r="N4" s="65">
        <v>44848</v>
      </c>
      <c r="O4" s="65">
        <v>44926</v>
      </c>
      <c r="P4" s="43">
        <f>P6-N4</f>
        <v>67</v>
      </c>
      <c r="Q4" s="55">
        <f>SUM(Q5:Q26)</f>
        <v>15.49</v>
      </c>
      <c r="R4" s="55">
        <v>8.66</v>
      </c>
      <c r="S4" s="43"/>
      <c r="T4" s="55">
        <f>SUM(T5:T26)</f>
        <v>39.86</v>
      </c>
      <c r="U4" s="56">
        <v>4.5699999999999998E-2</v>
      </c>
      <c r="V4" s="50"/>
      <c r="W4" s="43" t="s">
        <v>42</v>
      </c>
      <c r="X4" s="57">
        <v>0.02</v>
      </c>
      <c r="Y4" s="66">
        <f>ROUNDDOWN(IF((O4-N4+1)*K4*X4/365&gt;R4,R4,(O4-N4+1)*K4*X4/365),2)</f>
        <v>8.65</v>
      </c>
      <c r="Z4" s="55">
        <f>R4-Y4</f>
        <v>0.01</v>
      </c>
      <c r="AA4" s="55" t="s">
        <v>43</v>
      </c>
      <c r="AB4" s="43" t="s">
        <v>61</v>
      </c>
    </row>
    <row r="5" spans="1:29" s="35" customFormat="1">
      <c r="A5" s="44"/>
      <c r="B5" s="44"/>
      <c r="C5" s="44"/>
      <c r="D5" s="44"/>
      <c r="E5" s="44"/>
      <c r="F5" s="44"/>
      <c r="G5" s="44"/>
      <c r="H5" s="44"/>
      <c r="I5" s="44"/>
      <c r="J5" s="44"/>
      <c r="K5" s="44"/>
      <c r="L5" s="44"/>
      <c r="M5" s="63"/>
      <c r="N5" s="52"/>
      <c r="O5" s="65">
        <v>45395</v>
      </c>
      <c r="P5" s="53">
        <v>44885</v>
      </c>
      <c r="Q5" s="58">
        <v>7.87</v>
      </c>
      <c r="R5" s="44"/>
      <c r="S5" s="53">
        <v>44977</v>
      </c>
      <c r="T5" s="58">
        <f>(S5-N4)/360*$U$4*$K$4</f>
        <v>32.75</v>
      </c>
      <c r="U5" s="58">
        <f>T5-Q5</f>
        <v>24.88</v>
      </c>
      <c r="V5" s="52"/>
      <c r="W5" s="44"/>
      <c r="X5" s="44"/>
      <c r="Y5" s="62"/>
      <c r="Z5" s="44"/>
      <c r="AA5" s="44"/>
      <c r="AB5" s="44"/>
    </row>
    <row r="6" spans="1:29" s="35" customFormat="1">
      <c r="A6" s="44"/>
      <c r="B6" s="44"/>
      <c r="C6" s="44"/>
      <c r="D6" s="44"/>
      <c r="E6" s="44"/>
      <c r="F6" s="44"/>
      <c r="G6" s="44"/>
      <c r="H6" s="44"/>
      <c r="I6" s="44"/>
      <c r="J6" s="44"/>
      <c r="K6" s="44"/>
      <c r="L6" s="44"/>
      <c r="M6" s="63"/>
      <c r="N6" s="52"/>
      <c r="O6" s="53"/>
      <c r="P6" s="53">
        <v>44915</v>
      </c>
      <c r="Q6" s="58">
        <v>7.62</v>
      </c>
      <c r="R6" s="44"/>
      <c r="S6" s="53">
        <v>45005</v>
      </c>
      <c r="T6" s="58">
        <f>(S6-S5)/360*$U$4*$K$4</f>
        <v>7.11</v>
      </c>
      <c r="U6" s="58">
        <f>T6-Q6</f>
        <v>-0.51</v>
      </c>
      <c r="V6" s="52"/>
      <c r="W6" s="44"/>
      <c r="X6" s="44"/>
      <c r="Y6" s="44"/>
      <c r="Z6" s="44"/>
      <c r="AA6" s="44"/>
      <c r="AB6" s="44"/>
    </row>
    <row r="7" spans="1:29" s="35" customFormat="1">
      <c r="A7" s="44"/>
      <c r="B7" s="44"/>
      <c r="C7" s="44"/>
      <c r="D7" s="44"/>
      <c r="E7" s="44"/>
      <c r="F7" s="44"/>
      <c r="G7" s="44"/>
      <c r="H7" s="44"/>
      <c r="I7" s="44"/>
      <c r="J7" s="44"/>
      <c r="K7" s="44"/>
      <c r="L7" s="44"/>
      <c r="M7" s="44"/>
      <c r="N7" s="52"/>
      <c r="O7" s="53"/>
      <c r="P7" s="53"/>
      <c r="Q7" s="58"/>
      <c r="R7" s="44"/>
      <c r="S7" s="53"/>
      <c r="T7" s="58"/>
      <c r="U7" s="58"/>
      <c r="V7" s="44"/>
      <c r="W7" s="44"/>
      <c r="X7" s="44"/>
      <c r="Y7" s="44"/>
      <c r="Z7" s="44"/>
      <c r="AA7" s="44"/>
      <c r="AB7" s="44"/>
    </row>
    <row r="8" spans="1:29" s="35" customFormat="1">
      <c r="A8" s="44"/>
      <c r="B8" s="44"/>
      <c r="C8" s="44"/>
      <c r="D8" s="44"/>
      <c r="E8" s="44"/>
      <c r="F8" s="44"/>
      <c r="G8" s="44"/>
      <c r="H8" s="44"/>
      <c r="I8" s="44"/>
      <c r="J8" s="44"/>
      <c r="K8" s="44"/>
      <c r="L8" s="44"/>
      <c r="M8" s="44"/>
      <c r="N8" s="52"/>
      <c r="O8" s="52"/>
      <c r="P8" s="53"/>
      <c r="Q8" s="58"/>
      <c r="R8" s="44"/>
      <c r="S8" s="53"/>
      <c r="T8" s="58"/>
      <c r="U8" s="58"/>
      <c r="V8" s="44"/>
      <c r="W8" s="44"/>
      <c r="X8" s="44"/>
      <c r="Y8" s="44"/>
      <c r="Z8" s="44"/>
      <c r="AA8" s="44"/>
      <c r="AB8" s="44"/>
    </row>
    <row r="9" spans="1:29" s="35" customFormat="1">
      <c r="A9" s="44"/>
      <c r="B9" s="44"/>
      <c r="C9" s="44"/>
      <c r="D9" s="44"/>
      <c r="E9" s="44"/>
      <c r="F9" s="44"/>
      <c r="G9" s="44"/>
      <c r="H9" s="44"/>
      <c r="I9" s="44"/>
      <c r="J9" s="44"/>
      <c r="K9" s="44"/>
      <c r="L9" s="44"/>
      <c r="M9" s="44"/>
      <c r="N9" s="52"/>
      <c r="O9" s="52"/>
      <c r="P9" s="53"/>
      <c r="Q9" s="58"/>
      <c r="R9" s="44"/>
      <c r="S9" s="53"/>
      <c r="T9" s="58"/>
      <c r="U9" s="58"/>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c r="Q10" s="58"/>
      <c r="R10" s="44"/>
      <c r="S10" s="53"/>
      <c r="T10" s="58"/>
      <c r="U10" s="58"/>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c r="Q11" s="58"/>
      <c r="R11" s="44"/>
      <c r="S11" s="53"/>
      <c r="T11" s="58"/>
      <c r="U11" s="58"/>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c r="Q12" s="58"/>
      <c r="R12" s="44"/>
      <c r="S12" s="53"/>
      <c r="T12" s="58"/>
      <c r="U12" s="58"/>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c r="Q13" s="58"/>
      <c r="R13" s="44"/>
      <c r="S13" s="53"/>
      <c r="T13" s="58"/>
      <c r="U13" s="58"/>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c r="Q14" s="58"/>
      <c r="R14" s="44"/>
      <c r="S14" s="53"/>
      <c r="T14" s="58"/>
      <c r="U14" s="58"/>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c r="Q15" s="58"/>
      <c r="R15" s="44"/>
      <c r="S15" s="53"/>
      <c r="T15" s="58"/>
      <c r="U15" s="58"/>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c r="Q16" s="58"/>
      <c r="R16" s="44"/>
      <c r="S16" s="53"/>
      <c r="T16" s="58"/>
      <c r="U16" s="58"/>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c r="Q17" s="58"/>
      <c r="R17" s="44"/>
      <c r="S17" s="53"/>
      <c r="T17" s="58"/>
      <c r="U17" s="58"/>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c r="Q18" s="58"/>
      <c r="R18" s="44"/>
      <c r="S18" s="53"/>
      <c r="T18" s="58"/>
      <c r="U18" s="58"/>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84">
      <c r="A27" s="43">
        <v>2</v>
      </c>
      <c r="B27" s="43" t="str">
        <f>B4</f>
        <v>微网优联科技(成都)有限公司</v>
      </c>
      <c r="C27" s="43" t="str">
        <f t="shared" ref="C27:G27" si="0">C4</f>
        <v>成都市新都区市场监督管理局</v>
      </c>
      <c r="D27" s="43" t="str">
        <f t="shared" si="0"/>
        <v>91510114MAACECL92U</v>
      </c>
      <c r="E27" s="43" t="str">
        <f t="shared" si="0"/>
        <v>其他有限责任公司</v>
      </c>
      <c r="F27" s="43" t="str">
        <f t="shared" si="0"/>
        <v>成都市新都区税务局</v>
      </c>
      <c r="G27" s="43" t="str">
        <f t="shared" si="0"/>
        <v>122555928604中国银行成都新都支行</v>
      </c>
      <c r="H27" s="43" t="s">
        <v>156</v>
      </c>
      <c r="I27" s="43" t="s">
        <v>342</v>
      </c>
      <c r="J27" s="43" t="s">
        <v>228</v>
      </c>
      <c r="K27" s="43">
        <v>2000</v>
      </c>
      <c r="L27" s="43" t="s">
        <v>1698</v>
      </c>
      <c r="M27" s="49" t="s">
        <v>1699</v>
      </c>
      <c r="N27" s="65">
        <v>44927</v>
      </c>
      <c r="O27" s="65">
        <v>45291</v>
      </c>
      <c r="P27" s="43">
        <f>P40-N27</f>
        <v>384</v>
      </c>
      <c r="Q27" s="55">
        <f>SUM(Q28:Q40)</f>
        <v>89.67</v>
      </c>
      <c r="R27" s="66">
        <v>40</v>
      </c>
      <c r="S27" s="43"/>
      <c r="T27" s="55">
        <f>SUM(T28:T38)</f>
        <v>82.01</v>
      </c>
      <c r="U27" s="56">
        <v>4.5699999999999998E-2</v>
      </c>
      <c r="V27" s="50"/>
      <c r="W27" s="43" t="s">
        <v>1700</v>
      </c>
      <c r="X27" s="67">
        <v>0.02</v>
      </c>
      <c r="Y27" s="43">
        <f>Y28+Y29+Y30</f>
        <v>35.71</v>
      </c>
      <c r="Z27" s="55">
        <f>R27-Y27</f>
        <v>4.29</v>
      </c>
      <c r="AA27" s="55" t="s">
        <v>108</v>
      </c>
      <c r="AB27" s="43" t="s">
        <v>1602</v>
      </c>
    </row>
    <row r="28" spans="1:28" s="35" customFormat="1">
      <c r="A28" s="44"/>
      <c r="B28" s="44"/>
      <c r="C28" s="44"/>
      <c r="D28" s="44"/>
      <c r="E28" s="44"/>
      <c r="F28" s="44"/>
      <c r="G28" s="44"/>
      <c r="H28" s="44"/>
      <c r="I28" s="44"/>
      <c r="J28" s="44"/>
      <c r="K28" s="44"/>
      <c r="L28" s="44"/>
      <c r="M28" s="44"/>
      <c r="N28" s="52"/>
      <c r="O28" s="65">
        <v>45395</v>
      </c>
      <c r="P28" s="53">
        <v>44946</v>
      </c>
      <c r="Q28" s="58">
        <v>7.87</v>
      </c>
      <c r="R28" s="44"/>
      <c r="S28" s="53">
        <v>44946</v>
      </c>
      <c r="T28" s="58">
        <f>(S28-N27)/360*$U$27*$K$27</f>
        <v>4.82</v>
      </c>
      <c r="U28" s="58">
        <f>T28-Q28</f>
        <v>-3.05</v>
      </c>
      <c r="V28" s="52">
        <v>45005</v>
      </c>
      <c r="W28" s="44">
        <v>200</v>
      </c>
      <c r="X28" s="44"/>
      <c r="Y28" s="62">
        <f>ROUNDDOWN((V28-N27)*K27*X27/365,2)</f>
        <v>8.5399999999999991</v>
      </c>
      <c r="Z28" s="44"/>
      <c r="AA28" s="44"/>
      <c r="AB28" s="44"/>
    </row>
    <row r="29" spans="1:28" s="35" customFormat="1">
      <c r="A29" s="44"/>
      <c r="B29" s="44"/>
      <c r="C29" s="44"/>
      <c r="D29" s="44"/>
      <c r="E29" s="44"/>
      <c r="F29" s="44"/>
      <c r="G29" s="44"/>
      <c r="H29" s="44"/>
      <c r="I29" s="44"/>
      <c r="J29" s="44"/>
      <c r="K29" s="44"/>
      <c r="L29" s="44"/>
      <c r="M29" s="44"/>
      <c r="N29" s="52"/>
      <c r="O29" s="52"/>
      <c r="P29" s="53">
        <v>44977</v>
      </c>
      <c r="Q29" s="58">
        <v>7.87</v>
      </c>
      <c r="R29" s="44"/>
      <c r="S29" s="53">
        <v>44977</v>
      </c>
      <c r="T29" s="58">
        <f t="shared" ref="T29:T40" si="1">(S29-S28)*$K$27*$U$27/360</f>
        <v>7.87</v>
      </c>
      <c r="U29" s="58">
        <f>T29-Q29</f>
        <v>0</v>
      </c>
      <c r="V29" s="52">
        <v>45189</v>
      </c>
      <c r="W29" s="44">
        <v>200</v>
      </c>
      <c r="X29" s="44"/>
      <c r="Y29" s="62">
        <f>ROUNDDOWN((V29-V28)*(K27-W28)*X27/365,2)</f>
        <v>18.14</v>
      </c>
      <c r="Z29" s="44"/>
      <c r="AA29" s="44"/>
      <c r="AB29" s="44"/>
    </row>
    <row r="30" spans="1:28" s="35" customFormat="1">
      <c r="A30" s="44"/>
      <c r="B30" s="44"/>
      <c r="C30" s="44"/>
      <c r="D30" s="44"/>
      <c r="E30" s="44"/>
      <c r="F30" s="44"/>
      <c r="G30" s="44"/>
      <c r="H30" s="44"/>
      <c r="I30" s="44"/>
      <c r="J30" s="44"/>
      <c r="K30" s="44"/>
      <c r="L30" s="44"/>
      <c r="M30" s="44"/>
      <c r="N30" s="52"/>
      <c r="O30" s="52"/>
      <c r="P30" s="53">
        <v>45005</v>
      </c>
      <c r="Q30" s="58">
        <v>7.11</v>
      </c>
      <c r="R30" s="44"/>
      <c r="S30" s="53">
        <v>45005</v>
      </c>
      <c r="T30" s="58">
        <f t="shared" si="1"/>
        <v>7.11</v>
      </c>
      <c r="U30" s="58">
        <f>T30-Q30</f>
        <v>0</v>
      </c>
      <c r="V30" s="44"/>
      <c r="W30" s="44"/>
      <c r="X30" s="44"/>
      <c r="Y30" s="62">
        <f>ROUNDDOWN((O27-V29+1)*(K27-W28-W29)*X27/365,2)</f>
        <v>9.0299999999999994</v>
      </c>
      <c r="Z30" s="44"/>
      <c r="AA30" s="44"/>
      <c r="AB30" s="44"/>
    </row>
    <row r="31" spans="1:28" s="35" customFormat="1">
      <c r="A31" s="44"/>
      <c r="B31" s="44"/>
      <c r="C31" s="44"/>
      <c r="D31" s="44"/>
      <c r="E31" s="44"/>
      <c r="F31" s="44"/>
      <c r="G31" s="44"/>
      <c r="H31" s="44"/>
      <c r="I31" s="44"/>
      <c r="J31" s="44"/>
      <c r="K31" s="44"/>
      <c r="L31" s="44"/>
      <c r="M31" s="44"/>
      <c r="N31" s="52"/>
      <c r="O31" s="52"/>
      <c r="P31" s="53">
        <v>45036</v>
      </c>
      <c r="Q31" s="58">
        <v>7.08</v>
      </c>
      <c r="R31" s="44"/>
      <c r="S31" s="53">
        <v>45036</v>
      </c>
      <c r="T31" s="58">
        <f t="shared" si="1"/>
        <v>7.87</v>
      </c>
      <c r="U31" s="58">
        <f t="shared" ref="U31:U40" si="2">T31-Q31</f>
        <v>0.79</v>
      </c>
      <c r="V31" s="44"/>
      <c r="W31" s="44"/>
      <c r="X31" s="44"/>
      <c r="Y31" s="44"/>
      <c r="Z31" s="44"/>
      <c r="AA31" s="44"/>
      <c r="AB31" s="44"/>
    </row>
    <row r="32" spans="1:28" s="35" customFormat="1">
      <c r="A32" s="44"/>
      <c r="B32" s="44"/>
      <c r="C32" s="44"/>
      <c r="D32" s="44"/>
      <c r="E32" s="44"/>
      <c r="F32" s="44"/>
      <c r="G32" s="44"/>
      <c r="H32" s="44"/>
      <c r="I32" s="44"/>
      <c r="J32" s="44"/>
      <c r="K32" s="44"/>
      <c r="L32" s="44"/>
      <c r="M32" s="44"/>
      <c r="N32" s="52"/>
      <c r="O32" s="52"/>
      <c r="P32" s="53">
        <v>45066</v>
      </c>
      <c r="Q32" s="58">
        <v>6.86</v>
      </c>
      <c r="R32" s="44"/>
      <c r="S32" s="53">
        <v>45066</v>
      </c>
      <c r="T32" s="58">
        <f t="shared" si="1"/>
        <v>7.62</v>
      </c>
      <c r="U32" s="58">
        <f t="shared" si="2"/>
        <v>0.76</v>
      </c>
      <c r="V32" s="44"/>
      <c r="W32" s="44"/>
      <c r="X32" s="44"/>
      <c r="Y32" s="44"/>
      <c r="Z32" s="44"/>
      <c r="AA32" s="44"/>
      <c r="AB32" s="44"/>
    </row>
    <row r="33" spans="1:28" s="35" customFormat="1">
      <c r="A33" s="44"/>
      <c r="B33" s="44"/>
      <c r="C33" s="44"/>
      <c r="D33" s="44"/>
      <c r="E33" s="44"/>
      <c r="F33" s="44"/>
      <c r="G33" s="44"/>
      <c r="H33" s="44"/>
      <c r="I33" s="44"/>
      <c r="J33" s="44"/>
      <c r="K33" s="44"/>
      <c r="L33" s="44"/>
      <c r="M33" s="44"/>
      <c r="N33" s="52"/>
      <c r="O33" s="52"/>
      <c r="P33" s="53">
        <v>45097</v>
      </c>
      <c r="Q33" s="58">
        <v>7.08</v>
      </c>
      <c r="R33" s="44"/>
      <c r="S33" s="53">
        <v>45097</v>
      </c>
      <c r="T33" s="58">
        <f t="shared" si="1"/>
        <v>7.87</v>
      </c>
      <c r="U33" s="58">
        <f t="shared" si="2"/>
        <v>0.79</v>
      </c>
      <c r="V33" s="44"/>
      <c r="W33" s="44"/>
      <c r="X33" s="44"/>
      <c r="Y33" s="44"/>
      <c r="Z33" s="44"/>
      <c r="AA33" s="44"/>
      <c r="AB33" s="44"/>
    </row>
    <row r="34" spans="1:28" s="35" customFormat="1">
      <c r="A34" s="44"/>
      <c r="B34" s="44"/>
      <c r="C34" s="44"/>
      <c r="D34" s="44"/>
      <c r="E34" s="44"/>
      <c r="F34" s="44"/>
      <c r="G34" s="44"/>
      <c r="H34" s="44"/>
      <c r="I34" s="44"/>
      <c r="J34" s="44"/>
      <c r="K34" s="44"/>
      <c r="L34" s="44"/>
      <c r="M34" s="44"/>
      <c r="N34" s="52"/>
      <c r="O34" s="52"/>
      <c r="P34" s="53">
        <v>45127</v>
      </c>
      <c r="Q34" s="58">
        <v>6.86</v>
      </c>
      <c r="R34" s="44"/>
      <c r="S34" s="53">
        <v>45127</v>
      </c>
      <c r="T34" s="58">
        <f t="shared" si="1"/>
        <v>7.62</v>
      </c>
      <c r="U34" s="58">
        <f t="shared" si="2"/>
        <v>0.76</v>
      </c>
      <c r="V34" s="44"/>
      <c r="W34" s="44"/>
      <c r="X34" s="44"/>
      <c r="Y34" s="44"/>
      <c r="Z34" s="44"/>
      <c r="AA34" s="44"/>
      <c r="AB34" s="44"/>
    </row>
    <row r="35" spans="1:28" s="35" customFormat="1">
      <c r="A35" s="44"/>
      <c r="B35" s="44"/>
      <c r="C35" s="44"/>
      <c r="D35" s="44"/>
      <c r="E35" s="44"/>
      <c r="F35" s="44"/>
      <c r="G35" s="44"/>
      <c r="H35" s="44"/>
      <c r="I35" s="44"/>
      <c r="J35" s="44"/>
      <c r="K35" s="44"/>
      <c r="L35" s="44"/>
      <c r="M35" s="44"/>
      <c r="N35" s="52"/>
      <c r="O35" s="52"/>
      <c r="P35" s="53">
        <v>45158</v>
      </c>
      <c r="Q35" s="58">
        <v>7.08</v>
      </c>
      <c r="R35" s="44"/>
      <c r="S35" s="53">
        <v>45158</v>
      </c>
      <c r="T35" s="58">
        <f t="shared" si="1"/>
        <v>7.87</v>
      </c>
      <c r="U35" s="58">
        <f t="shared" si="2"/>
        <v>0.79</v>
      </c>
      <c r="V35" s="44"/>
      <c r="W35" s="44"/>
      <c r="X35" s="44"/>
      <c r="Y35" s="44"/>
      <c r="Z35" s="44"/>
      <c r="AA35" s="44"/>
      <c r="AB35" s="44"/>
    </row>
    <row r="36" spans="1:28" s="35" customFormat="1">
      <c r="A36" s="44"/>
      <c r="B36" s="44"/>
      <c r="C36" s="44"/>
      <c r="D36" s="44"/>
      <c r="E36" s="44"/>
      <c r="F36" s="44"/>
      <c r="G36" s="44"/>
      <c r="H36" s="44"/>
      <c r="I36" s="44"/>
      <c r="J36" s="44"/>
      <c r="K36" s="44"/>
      <c r="L36" s="44"/>
      <c r="M36" s="44"/>
      <c r="N36" s="52"/>
      <c r="O36" s="52"/>
      <c r="P36" s="53">
        <v>45189</v>
      </c>
      <c r="Q36" s="58">
        <v>7.08</v>
      </c>
      <c r="R36" s="44"/>
      <c r="S36" s="53">
        <v>45189</v>
      </c>
      <c r="T36" s="58">
        <f t="shared" si="1"/>
        <v>7.87</v>
      </c>
      <c r="U36" s="58">
        <f t="shared" si="2"/>
        <v>0.79</v>
      </c>
      <c r="V36" s="44"/>
      <c r="W36" s="44"/>
      <c r="X36" s="44"/>
      <c r="Y36" s="44"/>
      <c r="Z36" s="44"/>
      <c r="AA36" s="44"/>
      <c r="AB36" s="44"/>
    </row>
    <row r="37" spans="1:28" s="35" customFormat="1">
      <c r="A37" s="44"/>
      <c r="B37" s="44"/>
      <c r="C37" s="44"/>
      <c r="D37" s="44"/>
      <c r="E37" s="44"/>
      <c r="F37" s="44"/>
      <c r="G37" s="44"/>
      <c r="H37" s="44"/>
      <c r="I37" s="44"/>
      <c r="J37" s="44"/>
      <c r="K37" s="44"/>
      <c r="L37" s="44"/>
      <c r="M37" s="44"/>
      <c r="N37" s="52"/>
      <c r="O37" s="52"/>
      <c r="P37" s="53">
        <v>45219</v>
      </c>
      <c r="Q37" s="58">
        <v>6.09</v>
      </c>
      <c r="R37" s="44"/>
      <c r="S37" s="53">
        <v>45219</v>
      </c>
      <c r="T37" s="58">
        <f t="shared" si="1"/>
        <v>7.62</v>
      </c>
      <c r="U37" s="58">
        <f t="shared" si="2"/>
        <v>1.53</v>
      </c>
      <c r="V37" s="44"/>
      <c r="W37" s="44"/>
      <c r="X37" s="44"/>
      <c r="Y37" s="44"/>
      <c r="Z37" s="44"/>
      <c r="AA37" s="44"/>
      <c r="AB37" s="44"/>
    </row>
    <row r="38" spans="1:28" s="35" customFormat="1">
      <c r="A38" s="44"/>
      <c r="B38" s="44"/>
      <c r="C38" s="44"/>
      <c r="D38" s="44"/>
      <c r="E38" s="44"/>
      <c r="F38" s="44"/>
      <c r="G38" s="44"/>
      <c r="H38" s="44"/>
      <c r="I38" s="44"/>
      <c r="J38" s="44"/>
      <c r="K38" s="44"/>
      <c r="L38" s="44"/>
      <c r="M38" s="44"/>
      <c r="N38" s="52"/>
      <c r="O38" s="52"/>
      <c r="P38" s="53">
        <v>45250</v>
      </c>
      <c r="Q38" s="58">
        <v>6.3</v>
      </c>
      <c r="R38" s="44"/>
      <c r="S38" s="53">
        <v>45250</v>
      </c>
      <c r="T38" s="58">
        <f t="shared" si="1"/>
        <v>7.87</v>
      </c>
      <c r="U38" s="58">
        <f t="shared" si="2"/>
        <v>1.57</v>
      </c>
      <c r="V38" s="44"/>
      <c r="W38" s="44"/>
      <c r="X38" s="44"/>
      <c r="Y38" s="44"/>
      <c r="Z38" s="44"/>
      <c r="AA38" s="44"/>
      <c r="AB38" s="44"/>
    </row>
    <row r="39" spans="1:28" s="35" customFormat="1">
      <c r="A39" s="44"/>
      <c r="B39" s="44"/>
      <c r="C39" s="44"/>
      <c r="D39" s="44"/>
      <c r="E39" s="44"/>
      <c r="F39" s="44"/>
      <c r="G39" s="44"/>
      <c r="H39" s="44"/>
      <c r="I39" s="44"/>
      <c r="J39" s="44"/>
      <c r="K39" s="44"/>
      <c r="L39" s="44"/>
      <c r="M39" s="44"/>
      <c r="N39" s="52"/>
      <c r="O39" s="52"/>
      <c r="P39" s="53">
        <v>45280</v>
      </c>
      <c r="Q39" s="58">
        <v>6.09</v>
      </c>
      <c r="R39" s="44"/>
      <c r="S39" s="53">
        <v>45280</v>
      </c>
      <c r="T39" s="58">
        <f t="shared" si="1"/>
        <v>7.62</v>
      </c>
      <c r="U39" s="58">
        <f t="shared" si="2"/>
        <v>1.53</v>
      </c>
      <c r="V39" s="44"/>
      <c r="W39" s="44"/>
      <c r="X39" s="44"/>
      <c r="Y39" s="44"/>
      <c r="Z39" s="44"/>
      <c r="AA39" s="44"/>
      <c r="AB39" s="44"/>
    </row>
    <row r="40" spans="1:28" s="35" customFormat="1">
      <c r="A40" s="44"/>
      <c r="B40" s="44"/>
      <c r="C40" s="44"/>
      <c r="D40" s="44"/>
      <c r="E40" s="44"/>
      <c r="F40" s="44"/>
      <c r="G40" s="44"/>
      <c r="H40" s="44"/>
      <c r="I40" s="44"/>
      <c r="J40" s="44"/>
      <c r="K40" s="44"/>
      <c r="L40" s="44"/>
      <c r="M40" s="44"/>
      <c r="N40" s="52"/>
      <c r="O40" s="52"/>
      <c r="P40" s="53">
        <v>45311</v>
      </c>
      <c r="Q40" s="58">
        <v>6.3</v>
      </c>
      <c r="R40" s="44"/>
      <c r="S40" s="53">
        <v>45311</v>
      </c>
      <c r="T40" s="58">
        <f t="shared" si="1"/>
        <v>7.87</v>
      </c>
      <c r="U40" s="58">
        <f t="shared" si="2"/>
        <v>1.57</v>
      </c>
      <c r="V40" s="44"/>
      <c r="W40" s="44"/>
      <c r="X40" s="44"/>
      <c r="Y40" s="44"/>
      <c r="Z40" s="44"/>
      <c r="AA40" s="44"/>
      <c r="AB40" s="44"/>
    </row>
    <row r="41" spans="1:28" s="35" customFormat="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56" hidden="1">
      <c r="A49" s="43">
        <v>3</v>
      </c>
      <c r="B49" s="43" t="str">
        <f>B27</f>
        <v>微网优联科技(成都)有限公司</v>
      </c>
      <c r="C49" s="43" t="str">
        <f t="shared" ref="C49:G49" si="3">C27</f>
        <v>成都市新都区市场监督管理局</v>
      </c>
      <c r="D49" s="43" t="str">
        <f t="shared" si="3"/>
        <v>91510114MAACECL92U</v>
      </c>
      <c r="E49" s="43" t="str">
        <f t="shared" si="3"/>
        <v>其他有限责任公司</v>
      </c>
      <c r="F49" s="43" t="str">
        <f t="shared" si="3"/>
        <v>成都市新都区税务局</v>
      </c>
      <c r="G49" s="43" t="str">
        <f t="shared" si="3"/>
        <v>122555928604中国银行成都新都支行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56" hidden="1">
      <c r="A71" s="43">
        <v>4</v>
      </c>
      <c r="B71" s="43" t="str">
        <f>B49</f>
        <v>微网优联科技(成都)有限公司</v>
      </c>
      <c r="C71" s="43" t="str">
        <f t="shared" ref="C71:G71" si="4">C49</f>
        <v>成都市新都区市场监督管理局</v>
      </c>
      <c r="D71" s="43" t="str">
        <f t="shared" si="4"/>
        <v>91510114MAACECL92U</v>
      </c>
      <c r="E71" s="43" t="str">
        <f t="shared" si="4"/>
        <v>其他有限责任公司</v>
      </c>
      <c r="F71" s="43" t="str">
        <f t="shared" si="4"/>
        <v>成都市新都区税务局</v>
      </c>
      <c r="G71" s="43" t="str">
        <f t="shared" si="4"/>
        <v>122555928604中国银行成都新都支行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56" hidden="1">
      <c r="A93" s="43">
        <v>5</v>
      </c>
      <c r="B93" s="43" t="str">
        <f>B71</f>
        <v>微网优联科技(成都)有限公司</v>
      </c>
      <c r="C93" s="43" t="str">
        <f t="shared" ref="C93:G93" si="5">C71</f>
        <v>成都市新都区市场监督管理局</v>
      </c>
      <c r="D93" s="43" t="str">
        <f t="shared" si="5"/>
        <v>91510114MAACECL92U</v>
      </c>
      <c r="E93" s="43" t="str">
        <f t="shared" si="5"/>
        <v>其他有限责任公司</v>
      </c>
      <c r="F93" s="43" t="str">
        <f t="shared" si="5"/>
        <v>成都市新都区税务局</v>
      </c>
      <c r="G93" s="43" t="str">
        <f t="shared" si="5"/>
        <v>122555928604中国银行成都新都支行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4000</v>
      </c>
      <c r="L115" s="43"/>
      <c r="M115" s="43"/>
      <c r="N115" s="50"/>
      <c r="O115" s="50"/>
      <c r="P115" s="43"/>
      <c r="Q115" s="43"/>
      <c r="R115" s="43"/>
      <c r="S115" s="43"/>
      <c r="T115" s="43"/>
      <c r="U115" s="43"/>
      <c r="V115" s="43"/>
      <c r="W115" s="43"/>
      <c r="X115" s="43"/>
      <c r="Y115" s="43">
        <f>Y93+Y71+Y49+Y27++Y4</f>
        <v>44.36</v>
      </c>
      <c r="Z115" s="43"/>
      <c r="AA115" s="43"/>
      <c r="AB115" s="43"/>
    </row>
    <row r="116" spans="1:28">
      <c r="I116" s="36" t="s">
        <v>49</v>
      </c>
      <c r="K116" s="36">
        <f ca="1">IF(K115&gt;3000,K117,K115)</f>
        <v>2780</v>
      </c>
    </row>
    <row r="117" spans="1:28" hidden="1">
      <c r="K117" s="36">
        <f ca="1">IF(K116&gt;3000,K118,K116)</f>
        <v>2780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AC117"/>
  <sheetViews>
    <sheetView workbookViewId="0">
      <pane ySplit="3" topLeftCell="A4" activePane="bottomLeft" state="frozen"/>
      <selection pane="bottomLeft" activeCell="I8" sqref="I8"/>
    </sheetView>
  </sheetViews>
  <sheetFormatPr defaultColWidth="9" defaultRowHeight="14"/>
  <cols>
    <col min="1" max="6" width="9" style="36"/>
    <col min="7" max="7" width="9" style="36" hidden="1" customWidth="1"/>
    <col min="8" max="13" width="9" style="36"/>
    <col min="14" max="14" width="14.25" style="38" customWidth="1"/>
    <col min="15" max="15" width="15" style="38" customWidth="1"/>
    <col min="16" max="16" width="10.25" style="36" customWidth="1"/>
    <col min="17" max="18" width="9" style="36"/>
    <col min="19" max="19" width="9.83203125" style="36" customWidth="1"/>
    <col min="20" max="21" width="9" style="36"/>
    <col min="22" max="22" width="11.5" style="36" customWidth="1"/>
    <col min="23" max="28" width="9" style="36"/>
    <col min="29" max="29" width="9" style="36" hidden="1" customWidth="1"/>
    <col min="30" max="16384" width="9" style="36"/>
  </cols>
  <sheetData>
    <row r="1" spans="1:29" ht="25">
      <c r="B1" s="163" t="str">
        <f>B4&amp;AC1</f>
        <v>四川科华展示设备有限公司审计明细表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29"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29" ht="42">
      <c r="A3" s="169"/>
      <c r="B3" s="169"/>
      <c r="C3" s="170"/>
      <c r="D3" s="170"/>
      <c r="E3" s="172"/>
      <c r="F3" s="172"/>
      <c r="G3" s="170"/>
      <c r="H3" s="172"/>
      <c r="I3" s="45" t="s">
        <v>12</v>
      </c>
      <c r="J3" s="40" t="s">
        <v>13</v>
      </c>
      <c r="K3" s="41" t="s">
        <v>14</v>
      </c>
      <c r="L3" s="42" t="s">
        <v>15</v>
      </c>
      <c r="M3" s="42" t="s">
        <v>16</v>
      </c>
      <c r="N3" s="47" t="s">
        <v>17</v>
      </c>
      <c r="O3" s="47" t="s">
        <v>18</v>
      </c>
      <c r="P3" s="48" t="s">
        <v>19</v>
      </c>
      <c r="Q3" s="48" t="s">
        <v>20</v>
      </c>
      <c r="R3" s="41" t="s">
        <v>21</v>
      </c>
      <c r="S3" s="41" t="s">
        <v>832</v>
      </c>
      <c r="T3" s="54" t="s">
        <v>23</v>
      </c>
      <c r="U3" s="41" t="s">
        <v>24</v>
      </c>
      <c r="V3" s="41" t="s">
        <v>25</v>
      </c>
      <c r="W3" s="41" t="s">
        <v>26</v>
      </c>
      <c r="X3" s="41" t="s">
        <v>27</v>
      </c>
      <c r="Y3" s="54" t="s">
        <v>28</v>
      </c>
      <c r="Z3" s="41" t="s">
        <v>29</v>
      </c>
      <c r="AA3" s="41" t="s">
        <v>30</v>
      </c>
      <c r="AB3" s="167"/>
      <c r="AC3" s="60"/>
    </row>
    <row r="4" spans="1:29" s="34" customFormat="1" ht="98">
      <c r="A4" s="43">
        <v>1</v>
      </c>
      <c r="B4" s="43" t="s">
        <v>708</v>
      </c>
      <c r="C4" s="43" t="s">
        <v>1547</v>
      </c>
      <c r="D4" s="43" t="s">
        <v>1701</v>
      </c>
      <c r="E4" s="43" t="s">
        <v>246</v>
      </c>
      <c r="F4" s="43" t="s">
        <v>1549</v>
      </c>
      <c r="G4" s="43" t="s">
        <v>1572</v>
      </c>
      <c r="H4" s="43" t="s">
        <v>958</v>
      </c>
      <c r="I4" s="43" t="s">
        <v>1702</v>
      </c>
      <c r="J4" s="43" t="s">
        <v>168</v>
      </c>
      <c r="K4" s="43">
        <v>50</v>
      </c>
      <c r="L4" s="43" t="s">
        <v>1703</v>
      </c>
      <c r="M4" s="49" t="s">
        <v>1704</v>
      </c>
      <c r="N4" s="65">
        <v>44886</v>
      </c>
      <c r="O4" s="65">
        <v>45239</v>
      </c>
      <c r="P4" s="43">
        <f>P16-N4</f>
        <v>303</v>
      </c>
      <c r="Q4" s="55">
        <f>SUM(Q5:Q114)</f>
        <v>2.15</v>
      </c>
      <c r="R4" s="55">
        <v>0.5</v>
      </c>
      <c r="S4" s="43"/>
      <c r="T4" s="55">
        <f>SUM(T5:T26)</f>
        <v>2.21</v>
      </c>
      <c r="U4" s="56">
        <v>4.4999999999999998E-2</v>
      </c>
      <c r="V4" s="50"/>
      <c r="W4" s="43" t="s">
        <v>1705</v>
      </c>
      <c r="X4" s="57">
        <v>0.01</v>
      </c>
      <c r="Y4" s="66">
        <f>ROUNDDOWN(IF((O4-N4+1)*K4*X4/365&gt;R4,R4,(O4-N4+1)*K4*X4/365),2)</f>
        <v>0.48</v>
      </c>
      <c r="Z4" s="55">
        <f>R4-Y4</f>
        <v>0.02</v>
      </c>
      <c r="AA4" s="55" t="s">
        <v>108</v>
      </c>
      <c r="AB4" s="43" t="s">
        <v>61</v>
      </c>
    </row>
    <row r="5" spans="1:29" s="35" customFormat="1">
      <c r="A5" s="44"/>
      <c r="B5" s="44"/>
      <c r="C5" s="44"/>
      <c r="D5" s="44"/>
      <c r="E5" s="44"/>
      <c r="F5" s="44"/>
      <c r="G5" s="44"/>
      <c r="H5" s="44"/>
      <c r="I5" s="44"/>
      <c r="J5" s="44"/>
      <c r="K5" s="44"/>
      <c r="L5" s="44"/>
      <c r="M5" s="63"/>
      <c r="N5" s="52"/>
      <c r="O5" s="52"/>
      <c r="P5" s="53">
        <v>44915</v>
      </c>
      <c r="Q5" s="58">
        <v>0.18</v>
      </c>
      <c r="R5" s="44"/>
      <c r="S5" s="53">
        <v>44915</v>
      </c>
      <c r="T5" s="58">
        <f>(S5-N4)/360*$U$4*$K$4</f>
        <v>0.18</v>
      </c>
      <c r="U5" s="58">
        <f>T5-Q5</f>
        <v>0</v>
      </c>
      <c r="V5" s="52"/>
      <c r="W5" s="44"/>
      <c r="X5" s="44"/>
      <c r="Y5" s="44"/>
      <c r="Z5" s="44"/>
      <c r="AA5" s="44"/>
      <c r="AB5" s="44"/>
    </row>
    <row r="6" spans="1:29" s="35" customFormat="1">
      <c r="A6" s="44"/>
      <c r="B6" s="44"/>
      <c r="C6" s="44"/>
      <c r="D6" s="44"/>
      <c r="E6" s="44"/>
      <c r="F6" s="44"/>
      <c r="G6" s="44"/>
      <c r="H6" s="44"/>
      <c r="I6" s="44"/>
      <c r="J6" s="44"/>
      <c r="K6" s="44"/>
      <c r="L6" s="44"/>
      <c r="M6" s="63"/>
      <c r="N6" s="52"/>
      <c r="O6" s="53"/>
      <c r="P6" s="53">
        <v>44923</v>
      </c>
      <c r="Q6" s="58">
        <v>-0.04</v>
      </c>
      <c r="R6" s="44"/>
      <c r="S6" s="53">
        <v>44923</v>
      </c>
      <c r="T6" s="58">
        <f>(S6-S5)/360*$U$4*$K$4</f>
        <v>0.05</v>
      </c>
      <c r="U6" s="58">
        <f>T6-Q6</f>
        <v>0.09</v>
      </c>
      <c r="V6" s="52"/>
      <c r="W6" s="44"/>
      <c r="X6" s="44"/>
      <c r="Y6" s="44"/>
      <c r="Z6" s="44"/>
      <c r="AA6" s="44"/>
      <c r="AB6" s="44"/>
    </row>
    <row r="7" spans="1:29" s="35" customFormat="1">
      <c r="A7" s="44"/>
      <c r="B7" s="44"/>
      <c r="C7" s="44"/>
      <c r="D7" s="44"/>
      <c r="E7" s="44"/>
      <c r="F7" s="44"/>
      <c r="G7" s="44"/>
      <c r="H7" s="44"/>
      <c r="I7" s="44"/>
      <c r="J7" s="44"/>
      <c r="K7" s="44"/>
      <c r="L7" s="44"/>
      <c r="M7" s="44"/>
      <c r="N7" s="52"/>
      <c r="O7" s="53"/>
      <c r="P7" s="53">
        <v>44935</v>
      </c>
      <c r="Q7" s="58">
        <v>-1.4999999999999999E-2</v>
      </c>
      <c r="R7" s="44"/>
      <c r="S7" s="53">
        <v>44935</v>
      </c>
      <c r="T7" s="58">
        <f>(S7-S6)*$K$4*U4/360</f>
        <v>0.08</v>
      </c>
      <c r="U7" s="58">
        <f>T7-Q7</f>
        <v>0.1</v>
      </c>
      <c r="V7" s="44"/>
      <c r="W7" s="44"/>
      <c r="X7" s="44"/>
      <c r="Y7" s="44"/>
      <c r="Z7" s="44"/>
      <c r="AA7" s="44"/>
      <c r="AB7" s="44"/>
    </row>
    <row r="8" spans="1:29" s="35" customFormat="1">
      <c r="A8" s="44"/>
      <c r="B8" s="44"/>
      <c r="C8" s="44"/>
      <c r="D8" s="44"/>
      <c r="E8" s="44"/>
      <c r="F8" s="44"/>
      <c r="G8" s="44"/>
      <c r="H8" s="44"/>
      <c r="I8" s="44"/>
      <c r="J8" s="44"/>
      <c r="K8" s="44"/>
      <c r="L8" s="44"/>
      <c r="M8" s="44"/>
      <c r="N8" s="52"/>
      <c r="O8" s="52"/>
      <c r="P8" s="53">
        <v>44946</v>
      </c>
      <c r="Q8" s="58">
        <v>0.19</v>
      </c>
      <c r="R8" s="44"/>
      <c r="S8" s="53">
        <v>44946</v>
      </c>
      <c r="T8" s="58">
        <f>(S8-S7)*$K$4*$U$4/360</f>
        <v>7.0000000000000007E-2</v>
      </c>
      <c r="U8" s="58">
        <f t="shared" ref="U8:U18" si="0">T8-Q8</f>
        <v>-0.12</v>
      </c>
      <c r="V8" s="44"/>
      <c r="W8" s="44"/>
      <c r="X8" s="44"/>
      <c r="Y8" s="44"/>
      <c r="Z8" s="44"/>
      <c r="AA8" s="44"/>
      <c r="AB8" s="44"/>
    </row>
    <row r="9" spans="1:29" s="35" customFormat="1">
      <c r="A9" s="44"/>
      <c r="B9" s="44"/>
      <c r="C9" s="44"/>
      <c r="D9" s="44"/>
      <c r="E9" s="44"/>
      <c r="F9" s="44"/>
      <c r="G9" s="44"/>
      <c r="H9" s="44"/>
      <c r="I9" s="44"/>
      <c r="J9" s="44"/>
      <c r="K9" s="44"/>
      <c r="L9" s="44"/>
      <c r="M9" s="44"/>
      <c r="N9" s="52"/>
      <c r="O9" s="52"/>
      <c r="P9" s="53">
        <v>44977</v>
      </c>
      <c r="Q9" s="58">
        <v>0.19</v>
      </c>
      <c r="R9" s="44"/>
      <c r="S9" s="53">
        <v>44977</v>
      </c>
      <c r="T9" s="58">
        <f t="shared" ref="T9:T18" si="1">(S9-S8)*$K$4*$U$4/360</f>
        <v>0.19</v>
      </c>
      <c r="U9" s="58">
        <f t="shared" si="0"/>
        <v>0</v>
      </c>
      <c r="V9" s="44"/>
      <c r="W9" s="44"/>
      <c r="X9" s="44"/>
      <c r="Y9" s="44"/>
      <c r="Z9" s="44"/>
      <c r="AA9" s="44"/>
      <c r="AB9" s="44"/>
    </row>
    <row r="10" spans="1:29" s="35" customFormat="1">
      <c r="A10" s="44"/>
      <c r="B10" s="44"/>
      <c r="C10" s="44"/>
      <c r="D10" s="44"/>
      <c r="E10" s="44"/>
      <c r="F10" s="44"/>
      <c r="G10" s="44"/>
      <c r="H10" s="44"/>
      <c r="I10" s="44"/>
      <c r="J10" s="44"/>
      <c r="K10" s="44"/>
      <c r="L10" s="44"/>
      <c r="M10" s="44"/>
      <c r="N10" s="52"/>
      <c r="O10" s="52"/>
      <c r="P10" s="53">
        <v>45005</v>
      </c>
      <c r="Q10" s="58">
        <v>0.18</v>
      </c>
      <c r="R10" s="44"/>
      <c r="S10" s="53">
        <v>45005</v>
      </c>
      <c r="T10" s="58">
        <f t="shared" si="1"/>
        <v>0.18</v>
      </c>
      <c r="U10" s="58">
        <f t="shared" si="0"/>
        <v>0</v>
      </c>
      <c r="V10" s="44"/>
      <c r="W10" s="44"/>
      <c r="X10" s="44"/>
      <c r="Y10" s="44"/>
      <c r="Z10" s="44"/>
      <c r="AA10" s="44"/>
      <c r="AB10" s="44"/>
    </row>
    <row r="11" spans="1:29" s="35" customFormat="1">
      <c r="A11" s="44"/>
      <c r="B11" s="44"/>
      <c r="C11" s="44"/>
      <c r="D11" s="44"/>
      <c r="E11" s="44"/>
      <c r="F11" s="44"/>
      <c r="G11" s="44"/>
      <c r="H11" s="44"/>
      <c r="I11" s="44"/>
      <c r="J11" s="44"/>
      <c r="K11" s="44"/>
      <c r="L11" s="44"/>
      <c r="M11" s="44"/>
      <c r="N11" s="52"/>
      <c r="O11" s="52"/>
      <c r="P11" s="53">
        <v>45036</v>
      </c>
      <c r="Q11" s="58">
        <v>0.19</v>
      </c>
      <c r="R11" s="44"/>
      <c r="S11" s="53">
        <v>45036</v>
      </c>
      <c r="T11" s="58">
        <f t="shared" si="1"/>
        <v>0.19</v>
      </c>
      <c r="U11" s="58">
        <f t="shared" si="0"/>
        <v>0</v>
      </c>
      <c r="V11" s="44"/>
      <c r="W11" s="44"/>
      <c r="X11" s="44"/>
      <c r="Y11" s="44"/>
      <c r="Z11" s="44"/>
      <c r="AA11" s="44"/>
      <c r="AB11" s="44"/>
    </row>
    <row r="12" spans="1:29" s="35" customFormat="1">
      <c r="A12" s="44"/>
      <c r="B12" s="44"/>
      <c r="C12" s="44"/>
      <c r="D12" s="44"/>
      <c r="E12" s="44"/>
      <c r="F12" s="44"/>
      <c r="G12" s="44"/>
      <c r="H12" s="44"/>
      <c r="I12" s="44"/>
      <c r="J12" s="44"/>
      <c r="K12" s="44"/>
      <c r="L12" s="44"/>
      <c r="M12" s="44"/>
      <c r="N12" s="52"/>
      <c r="O12" s="52"/>
      <c r="P12" s="53">
        <v>45066</v>
      </c>
      <c r="Q12" s="58">
        <v>0.19</v>
      </c>
      <c r="R12" s="44"/>
      <c r="S12" s="53">
        <v>45066</v>
      </c>
      <c r="T12" s="58">
        <f t="shared" si="1"/>
        <v>0.19</v>
      </c>
      <c r="U12" s="58">
        <f t="shared" si="0"/>
        <v>0</v>
      </c>
      <c r="V12" s="44"/>
      <c r="W12" s="44"/>
      <c r="X12" s="44"/>
      <c r="Y12" s="44"/>
      <c r="Z12" s="44"/>
      <c r="AA12" s="44"/>
      <c r="AB12" s="44"/>
    </row>
    <row r="13" spans="1:29" s="35" customFormat="1">
      <c r="A13" s="44"/>
      <c r="B13" s="44"/>
      <c r="C13" s="44"/>
      <c r="D13" s="44"/>
      <c r="E13" s="44"/>
      <c r="F13" s="44"/>
      <c r="G13" s="44"/>
      <c r="H13" s="44"/>
      <c r="I13" s="44"/>
      <c r="J13" s="44"/>
      <c r="K13" s="44"/>
      <c r="L13" s="44"/>
      <c r="M13" s="44"/>
      <c r="N13" s="52"/>
      <c r="O13" s="52"/>
      <c r="P13" s="53">
        <v>45097</v>
      </c>
      <c r="Q13" s="58">
        <v>0.19</v>
      </c>
      <c r="R13" s="44"/>
      <c r="S13" s="53">
        <v>45097</v>
      </c>
      <c r="T13" s="58">
        <f t="shared" si="1"/>
        <v>0.19</v>
      </c>
      <c r="U13" s="58">
        <f t="shared" si="0"/>
        <v>0</v>
      </c>
      <c r="V13" s="44"/>
      <c r="W13" s="44"/>
      <c r="X13" s="44"/>
      <c r="Y13" s="44"/>
      <c r="Z13" s="44"/>
      <c r="AA13" s="44"/>
      <c r="AB13" s="44"/>
    </row>
    <row r="14" spans="1:29" s="35" customFormat="1">
      <c r="A14" s="44"/>
      <c r="B14" s="44"/>
      <c r="C14" s="44"/>
      <c r="D14" s="44"/>
      <c r="E14" s="44"/>
      <c r="F14" s="44"/>
      <c r="G14" s="44"/>
      <c r="H14" s="44"/>
      <c r="I14" s="44"/>
      <c r="J14" s="44"/>
      <c r="K14" s="44"/>
      <c r="L14" s="44"/>
      <c r="M14" s="44"/>
      <c r="N14" s="52"/>
      <c r="O14" s="52"/>
      <c r="P14" s="53">
        <v>45127</v>
      </c>
      <c r="Q14" s="58">
        <v>0.19</v>
      </c>
      <c r="R14" s="44"/>
      <c r="S14" s="53">
        <v>45127</v>
      </c>
      <c r="T14" s="58">
        <f t="shared" si="1"/>
        <v>0.19</v>
      </c>
      <c r="U14" s="58">
        <f t="shared" si="0"/>
        <v>0</v>
      </c>
      <c r="V14" s="44"/>
      <c r="W14" s="44"/>
      <c r="X14" s="44"/>
      <c r="Y14" s="44"/>
      <c r="Z14" s="44"/>
      <c r="AA14" s="44"/>
      <c r="AB14" s="44"/>
    </row>
    <row r="15" spans="1:29" s="35" customFormat="1">
      <c r="A15" s="44"/>
      <c r="B15" s="44"/>
      <c r="C15" s="44"/>
      <c r="D15" s="44"/>
      <c r="E15" s="44"/>
      <c r="F15" s="44"/>
      <c r="G15" s="44"/>
      <c r="H15" s="44"/>
      <c r="I15" s="44"/>
      <c r="J15" s="44"/>
      <c r="K15" s="44"/>
      <c r="L15" s="44"/>
      <c r="M15" s="44"/>
      <c r="N15" s="52"/>
      <c r="O15" s="52"/>
      <c r="P15" s="53">
        <v>45158</v>
      </c>
      <c r="Q15" s="58">
        <v>0.19</v>
      </c>
      <c r="R15" s="44"/>
      <c r="S15" s="53">
        <v>45158</v>
      </c>
      <c r="T15" s="58">
        <f t="shared" si="1"/>
        <v>0.19</v>
      </c>
      <c r="U15" s="58">
        <f t="shared" si="0"/>
        <v>0</v>
      </c>
      <c r="V15" s="44"/>
      <c r="W15" s="44"/>
      <c r="X15" s="44"/>
      <c r="Y15" s="44"/>
      <c r="Z15" s="44"/>
      <c r="AA15" s="44"/>
      <c r="AB15" s="44"/>
    </row>
    <row r="16" spans="1:29" s="35" customFormat="1">
      <c r="A16" s="44"/>
      <c r="B16" s="44"/>
      <c r="C16" s="44"/>
      <c r="D16" s="44"/>
      <c r="E16" s="44"/>
      <c r="F16" s="44"/>
      <c r="G16" s="44"/>
      <c r="H16" s="44"/>
      <c r="I16" s="44"/>
      <c r="J16" s="44"/>
      <c r="K16" s="44"/>
      <c r="L16" s="44"/>
      <c r="M16" s="44"/>
      <c r="N16" s="52"/>
      <c r="O16" s="52"/>
      <c r="P16" s="53">
        <v>45189</v>
      </c>
      <c r="Q16" s="58">
        <v>0.19</v>
      </c>
      <c r="R16" s="44"/>
      <c r="S16" s="53">
        <v>45189</v>
      </c>
      <c r="T16" s="58">
        <f t="shared" si="1"/>
        <v>0.19</v>
      </c>
      <c r="U16" s="58">
        <f t="shared" si="0"/>
        <v>0</v>
      </c>
      <c r="V16" s="44"/>
      <c r="W16" s="44"/>
      <c r="X16" s="44"/>
      <c r="Y16" s="44"/>
      <c r="Z16" s="44"/>
      <c r="AA16" s="44"/>
      <c r="AB16" s="44"/>
    </row>
    <row r="17" spans="1:28" s="35" customFormat="1">
      <c r="A17" s="44"/>
      <c r="B17" s="44"/>
      <c r="C17" s="44"/>
      <c r="D17" s="44"/>
      <c r="E17" s="44"/>
      <c r="F17" s="44"/>
      <c r="G17" s="44"/>
      <c r="H17" s="44"/>
      <c r="I17" s="44"/>
      <c r="J17" s="44"/>
      <c r="K17" s="44"/>
      <c r="L17" s="44"/>
      <c r="M17" s="44"/>
      <c r="N17" s="52"/>
      <c r="O17" s="52"/>
      <c r="P17" s="53">
        <v>45219</v>
      </c>
      <c r="Q17" s="58">
        <v>0.19</v>
      </c>
      <c r="R17" s="44"/>
      <c r="S17" s="53">
        <v>45219</v>
      </c>
      <c r="T17" s="58">
        <f t="shared" si="1"/>
        <v>0.19</v>
      </c>
      <c r="U17" s="58">
        <f t="shared" si="0"/>
        <v>0</v>
      </c>
      <c r="V17" s="44"/>
      <c r="W17" s="44"/>
      <c r="X17" s="44"/>
      <c r="Y17" s="44"/>
      <c r="Z17" s="44"/>
      <c r="AA17" s="44"/>
      <c r="AB17" s="44"/>
    </row>
    <row r="18" spans="1:28" s="35" customFormat="1">
      <c r="A18" s="44"/>
      <c r="B18" s="44"/>
      <c r="C18" s="44"/>
      <c r="D18" s="44"/>
      <c r="E18" s="44"/>
      <c r="F18" s="44"/>
      <c r="G18" s="44"/>
      <c r="H18" s="44"/>
      <c r="I18" s="44"/>
      <c r="J18" s="44"/>
      <c r="K18" s="44"/>
      <c r="L18" s="44"/>
      <c r="M18" s="44"/>
      <c r="N18" s="52"/>
      <c r="O18" s="52"/>
      <c r="P18" s="53">
        <v>45239</v>
      </c>
      <c r="Q18" s="58">
        <v>0.13</v>
      </c>
      <c r="R18" s="44"/>
      <c r="S18" s="53">
        <v>45239</v>
      </c>
      <c r="T18" s="58">
        <f t="shared" si="1"/>
        <v>0.13</v>
      </c>
      <c r="U18" s="58">
        <f t="shared" si="0"/>
        <v>0</v>
      </c>
      <c r="V18" s="44"/>
      <c r="W18" s="44"/>
      <c r="X18" s="44"/>
      <c r="Y18" s="44"/>
      <c r="Z18" s="44"/>
      <c r="AA18" s="44"/>
      <c r="AB18" s="44"/>
    </row>
    <row r="19" spans="1:28" s="35" customFormat="1">
      <c r="A19" s="44"/>
      <c r="B19" s="44"/>
      <c r="C19" s="44"/>
      <c r="D19" s="44"/>
      <c r="E19" s="44"/>
      <c r="F19" s="44"/>
      <c r="G19" s="44"/>
      <c r="H19" s="44"/>
      <c r="I19" s="44"/>
      <c r="J19" s="44"/>
      <c r="K19" s="44"/>
      <c r="L19" s="44"/>
      <c r="M19" s="44"/>
      <c r="N19" s="52"/>
      <c r="O19" s="52"/>
      <c r="P19" s="53"/>
      <c r="Q19" s="58"/>
      <c r="R19" s="44"/>
      <c r="S19" s="53"/>
      <c r="T19" s="58"/>
      <c r="U19" s="58"/>
      <c r="V19" s="44"/>
      <c r="W19" s="44"/>
      <c r="X19" s="44"/>
      <c r="Y19" s="44"/>
      <c r="Z19" s="44"/>
      <c r="AA19" s="44"/>
      <c r="AB19" s="44"/>
    </row>
    <row r="20" spans="1:28" s="35" customFormat="1">
      <c r="A20" s="44"/>
      <c r="B20" s="44"/>
      <c r="C20" s="44"/>
      <c r="D20" s="44"/>
      <c r="E20" s="44"/>
      <c r="F20" s="44"/>
      <c r="G20" s="44"/>
      <c r="H20" s="44"/>
      <c r="I20" s="44"/>
      <c r="J20" s="44"/>
      <c r="K20" s="44"/>
      <c r="L20" s="44"/>
      <c r="M20" s="44"/>
      <c r="N20" s="52"/>
      <c r="O20" s="52"/>
      <c r="P20" s="53"/>
      <c r="Q20" s="58"/>
      <c r="R20" s="44"/>
      <c r="S20" s="53"/>
      <c r="T20" s="58"/>
      <c r="U20" s="58"/>
      <c r="V20" s="44"/>
      <c r="W20" s="44"/>
      <c r="X20" s="44"/>
      <c r="Y20" s="44"/>
      <c r="Z20" s="44"/>
      <c r="AA20" s="44"/>
      <c r="AB20" s="44"/>
    </row>
    <row r="21" spans="1:28" s="35" customFormat="1">
      <c r="A21" s="44"/>
      <c r="B21" s="44"/>
      <c r="C21" s="44"/>
      <c r="D21" s="44"/>
      <c r="E21" s="44"/>
      <c r="F21" s="44"/>
      <c r="G21" s="44"/>
      <c r="H21" s="44"/>
      <c r="I21" s="44"/>
      <c r="J21" s="44"/>
      <c r="K21" s="44"/>
      <c r="L21" s="44"/>
      <c r="M21" s="44"/>
      <c r="N21" s="52"/>
      <c r="O21" s="52"/>
      <c r="P21" s="53"/>
      <c r="Q21" s="58"/>
      <c r="R21" s="44"/>
      <c r="S21" s="53"/>
      <c r="T21" s="58"/>
      <c r="U21" s="58"/>
      <c r="V21" s="44"/>
      <c r="W21" s="44"/>
      <c r="X21" s="44"/>
      <c r="Y21" s="44"/>
      <c r="Z21" s="44"/>
      <c r="AA21" s="44"/>
      <c r="AB21" s="44"/>
    </row>
    <row r="22" spans="1:28" s="35" customFormat="1">
      <c r="A22" s="44"/>
      <c r="B22" s="44"/>
      <c r="C22" s="44"/>
      <c r="D22" s="44"/>
      <c r="E22" s="44"/>
      <c r="F22" s="44"/>
      <c r="G22" s="44"/>
      <c r="H22" s="44"/>
      <c r="I22" s="44"/>
      <c r="J22" s="44"/>
      <c r="K22" s="44"/>
      <c r="L22" s="44"/>
      <c r="M22" s="44"/>
      <c r="N22" s="52"/>
      <c r="O22" s="52"/>
      <c r="P22" s="53"/>
      <c r="Q22" s="58"/>
      <c r="R22" s="44"/>
      <c r="S22" s="53"/>
      <c r="T22" s="58"/>
      <c r="U22" s="58"/>
      <c r="V22" s="44"/>
      <c r="W22" s="44"/>
      <c r="X22" s="44"/>
      <c r="Y22" s="44"/>
      <c r="Z22" s="44"/>
      <c r="AA22" s="44"/>
      <c r="AB22" s="44"/>
    </row>
    <row r="23" spans="1:28" s="35" customFormat="1">
      <c r="A23" s="44"/>
      <c r="B23" s="44"/>
      <c r="C23" s="44"/>
      <c r="D23" s="44"/>
      <c r="E23" s="44"/>
      <c r="F23" s="44"/>
      <c r="G23" s="44"/>
      <c r="H23" s="44"/>
      <c r="I23" s="44"/>
      <c r="J23" s="44"/>
      <c r="K23" s="44"/>
      <c r="L23" s="44"/>
      <c r="M23" s="44"/>
      <c r="N23" s="52"/>
      <c r="O23" s="52"/>
      <c r="P23" s="53"/>
      <c r="Q23" s="58"/>
      <c r="R23" s="44"/>
      <c r="S23" s="53"/>
      <c r="T23" s="58"/>
      <c r="U23" s="58"/>
      <c r="V23" s="44"/>
      <c r="W23" s="44"/>
      <c r="X23" s="44"/>
      <c r="Y23" s="44"/>
      <c r="Z23" s="44"/>
      <c r="AA23" s="44"/>
      <c r="AB23" s="44"/>
    </row>
    <row r="24" spans="1:28" s="35" customFormat="1">
      <c r="A24" s="44"/>
      <c r="B24" s="44"/>
      <c r="C24" s="44"/>
      <c r="D24" s="44"/>
      <c r="E24" s="44"/>
      <c r="F24" s="44"/>
      <c r="G24" s="44"/>
      <c r="H24" s="44"/>
      <c r="I24" s="44"/>
      <c r="J24" s="44"/>
      <c r="K24" s="44"/>
      <c r="L24" s="44"/>
      <c r="M24" s="44"/>
      <c r="N24" s="52"/>
      <c r="O24" s="52"/>
      <c r="P24" s="53"/>
      <c r="Q24" s="58"/>
      <c r="R24" s="44"/>
      <c r="S24" s="53"/>
      <c r="T24" s="58"/>
      <c r="U24" s="58"/>
      <c r="V24" s="44"/>
      <c r="W24" s="44"/>
      <c r="X24" s="44"/>
      <c r="Y24" s="44"/>
      <c r="Z24" s="44"/>
      <c r="AA24" s="44"/>
      <c r="AB24" s="44"/>
    </row>
    <row r="25" spans="1:28" s="35" customFormat="1">
      <c r="A25" s="44"/>
      <c r="B25" s="44"/>
      <c r="C25" s="44"/>
      <c r="D25" s="44"/>
      <c r="E25" s="44"/>
      <c r="F25" s="44"/>
      <c r="G25" s="44"/>
      <c r="H25" s="44"/>
      <c r="I25" s="44"/>
      <c r="J25" s="44"/>
      <c r="K25" s="44"/>
      <c r="L25" s="44"/>
      <c r="M25" s="44"/>
      <c r="N25" s="52"/>
      <c r="O25" s="52"/>
      <c r="P25" s="53"/>
      <c r="Q25" s="58"/>
      <c r="R25" s="44"/>
      <c r="S25" s="53"/>
      <c r="T25" s="58"/>
      <c r="U25" s="58"/>
      <c r="V25" s="44"/>
      <c r="W25" s="44"/>
      <c r="X25" s="44"/>
      <c r="Y25" s="44"/>
      <c r="Z25" s="44"/>
      <c r="AA25" s="44"/>
      <c r="AB25" s="44"/>
    </row>
    <row r="26" spans="1:28" s="35" customFormat="1">
      <c r="A26" s="44"/>
      <c r="B26" s="44"/>
      <c r="C26" s="44"/>
      <c r="D26" s="44"/>
      <c r="E26" s="44"/>
      <c r="F26" s="44"/>
      <c r="G26" s="44"/>
      <c r="H26" s="44"/>
      <c r="I26" s="44"/>
      <c r="J26" s="44"/>
      <c r="K26" s="44"/>
      <c r="L26" s="44"/>
      <c r="M26" s="44"/>
      <c r="N26" s="52"/>
      <c r="O26" s="52"/>
      <c r="P26" s="53"/>
      <c r="Q26" s="58"/>
      <c r="R26" s="44"/>
      <c r="S26" s="53"/>
      <c r="T26" s="58"/>
      <c r="U26" s="58"/>
      <c r="V26" s="44"/>
      <c r="W26" s="44"/>
      <c r="X26" s="44"/>
      <c r="Y26" s="44"/>
      <c r="Z26" s="44"/>
      <c r="AA26" s="44"/>
      <c r="AB26" s="44"/>
    </row>
    <row r="27" spans="1:28" s="34" customFormat="1" ht="98" hidden="1">
      <c r="A27" s="43">
        <v>2</v>
      </c>
      <c r="B27" s="43" t="str">
        <f>B4</f>
        <v>四川科华展示设备有限公司</v>
      </c>
      <c r="C27" s="43" t="str">
        <f t="shared" ref="C27:G27" si="2">C4</f>
        <v>成都市新都区市场监督管理局</v>
      </c>
      <c r="D27" s="43" t="str">
        <f t="shared" si="2"/>
        <v>91510114765372711T</v>
      </c>
      <c r="E27" s="43" t="str">
        <f t="shared" si="2"/>
        <v>有限责任公司（自然人投资或控股）</v>
      </c>
      <c r="F27" s="43" t="str">
        <f t="shared" si="2"/>
        <v>成都市新都区税务局</v>
      </c>
      <c r="G27" s="43" t="str">
        <f t="shared" si="2"/>
        <v>4402035309000039679中国工商银行成都新都西南石油大学支行</v>
      </c>
      <c r="H27" s="43"/>
      <c r="I27" s="43"/>
      <c r="J27" s="43"/>
      <c r="K27" s="43"/>
      <c r="L27" s="43"/>
      <c r="M27" s="43"/>
      <c r="N27" s="50"/>
      <c r="O27" s="50"/>
      <c r="P27" s="43"/>
      <c r="Q27" s="55"/>
      <c r="R27" s="43"/>
      <c r="S27" s="43"/>
      <c r="T27" s="43"/>
      <c r="U27" s="43"/>
      <c r="V27" s="50"/>
      <c r="W27" s="43"/>
      <c r="X27" s="64"/>
      <c r="Y27" s="43">
        <f>ROUNDUP(IF((O27-N27+1)*K27*X27/365&gt;R27,R27,(O27-N27+1)*K27*X27/365),2)</f>
        <v>0</v>
      </c>
      <c r="Z27" s="43"/>
      <c r="AA27" s="43"/>
      <c r="AB27" s="43"/>
    </row>
    <row r="28" spans="1:28" s="35" customFormat="1" hidden="1">
      <c r="A28" s="44"/>
      <c r="B28" s="44"/>
      <c r="C28" s="44"/>
      <c r="D28" s="44"/>
      <c r="E28" s="44"/>
      <c r="F28" s="44"/>
      <c r="G28" s="44"/>
      <c r="H28" s="44"/>
      <c r="I28" s="44"/>
      <c r="J28" s="44"/>
      <c r="K28" s="44"/>
      <c r="L28" s="44"/>
      <c r="M28" s="44"/>
      <c r="N28" s="52"/>
      <c r="O28" s="52"/>
      <c r="P28" s="53"/>
      <c r="Q28" s="58"/>
      <c r="R28" s="44"/>
      <c r="S28" s="53"/>
      <c r="T28" s="58"/>
      <c r="U28" s="58"/>
      <c r="V28" s="52"/>
      <c r="W28" s="44"/>
      <c r="X28" s="44"/>
      <c r="Y28" s="44"/>
      <c r="Z28" s="44"/>
      <c r="AA28" s="44"/>
      <c r="AB28" s="44"/>
    </row>
    <row r="29" spans="1:28" s="35" customFormat="1" hidden="1">
      <c r="A29" s="44"/>
      <c r="B29" s="44"/>
      <c r="C29" s="44"/>
      <c r="D29" s="44"/>
      <c r="E29" s="44"/>
      <c r="F29" s="44"/>
      <c r="G29" s="44"/>
      <c r="H29" s="44"/>
      <c r="I29" s="44"/>
      <c r="J29" s="44"/>
      <c r="K29" s="44"/>
      <c r="L29" s="44"/>
      <c r="M29" s="44"/>
      <c r="N29" s="52"/>
      <c r="O29" s="52"/>
      <c r="P29" s="53"/>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44"/>
      <c r="N30" s="52"/>
      <c r="O30" s="52"/>
      <c r="P30" s="53"/>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44"/>
      <c r="N31" s="52"/>
      <c r="O31" s="52"/>
      <c r="P31" s="53"/>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44"/>
      <c r="N32" s="52"/>
      <c r="O32" s="52"/>
      <c r="P32" s="53"/>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44"/>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44"/>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44"/>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44"/>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44"/>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44"/>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44"/>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44"/>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44"/>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44"/>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44"/>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44"/>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44"/>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44"/>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44"/>
      <c r="N47" s="52"/>
      <c r="O47" s="52"/>
      <c r="P47" s="53"/>
      <c r="Q47" s="58"/>
      <c r="R47" s="44"/>
      <c r="S47" s="53"/>
      <c r="T47" s="58"/>
      <c r="U47" s="58"/>
      <c r="V47" s="44"/>
      <c r="W47" s="44"/>
      <c r="X47" s="44"/>
      <c r="Y47" s="44"/>
      <c r="Z47" s="44"/>
      <c r="AA47" s="44"/>
      <c r="AB47" s="44"/>
    </row>
    <row r="48" spans="1:28" s="35" customFormat="1" hidden="1">
      <c r="A48" s="44"/>
      <c r="B48" s="44"/>
      <c r="C48" s="44"/>
      <c r="D48" s="44"/>
      <c r="E48" s="44"/>
      <c r="F48" s="44"/>
      <c r="G48" s="44"/>
      <c r="H48" s="44"/>
      <c r="I48" s="44"/>
      <c r="J48" s="44"/>
      <c r="K48" s="44"/>
      <c r="L48" s="44"/>
      <c r="M48" s="44"/>
      <c r="N48" s="52"/>
      <c r="O48" s="52"/>
      <c r="P48" s="53"/>
      <c r="Q48" s="58"/>
      <c r="R48" s="44"/>
      <c r="S48" s="53"/>
      <c r="T48" s="58"/>
      <c r="U48" s="58"/>
      <c r="V48" s="44"/>
      <c r="W48" s="44"/>
      <c r="X48" s="44"/>
      <c r="Y48" s="44"/>
      <c r="Z48" s="44"/>
      <c r="AA48" s="44"/>
      <c r="AB48" s="44"/>
    </row>
    <row r="49" spans="1:28" s="34" customFormat="1" ht="98" hidden="1">
      <c r="A49" s="43">
        <v>3</v>
      </c>
      <c r="B49" s="43" t="str">
        <f>B27</f>
        <v>四川科华展示设备有限公司</v>
      </c>
      <c r="C49" s="43" t="str">
        <f t="shared" ref="C49:G49" si="3">C27</f>
        <v>成都市新都区市场监督管理局</v>
      </c>
      <c r="D49" s="43" t="str">
        <f t="shared" si="3"/>
        <v>91510114765372711T</v>
      </c>
      <c r="E49" s="43" t="str">
        <f t="shared" si="3"/>
        <v>有限责任公司（自然人投资或控股）</v>
      </c>
      <c r="F49" s="43" t="str">
        <f t="shared" si="3"/>
        <v>成都市新都区税务局</v>
      </c>
      <c r="G49" s="43" t="str">
        <f t="shared" si="3"/>
        <v>4402035309000039679中国工商银行成都新都西南石油大学支行</v>
      </c>
      <c r="H49" s="43"/>
      <c r="I49" s="43"/>
      <c r="J49" s="43"/>
      <c r="K49" s="43"/>
      <c r="L49" s="43"/>
      <c r="M49" s="43"/>
      <c r="N49" s="50"/>
      <c r="O49" s="50"/>
      <c r="P49" s="43"/>
      <c r="Q49" s="55">
        <f>SUM(Q50:Q70)</f>
        <v>0</v>
      </c>
      <c r="R49" s="43"/>
      <c r="S49" s="43"/>
      <c r="T49" s="43">
        <f>SUM(T50:T70)</f>
        <v>0</v>
      </c>
      <c r="U49" s="43"/>
      <c r="V49" s="50"/>
      <c r="W49" s="43"/>
      <c r="X49" s="64"/>
      <c r="Y49" s="43">
        <f>ROUNDUP(IF((O49-N49+1)*K49*X49/365&gt;R49,R49,(O49-N49+1)*K49*X49/365),2)</f>
        <v>0</v>
      </c>
      <c r="Z49" s="43"/>
      <c r="AA49" s="43"/>
      <c r="AB49" s="43"/>
    </row>
    <row r="50" spans="1:28" s="35" customFormat="1" hidden="1">
      <c r="A50" s="44"/>
      <c r="B50" s="44"/>
      <c r="C50" s="44"/>
      <c r="D50" s="44"/>
      <c r="E50" s="44"/>
      <c r="F50" s="44"/>
      <c r="G50" s="44"/>
      <c r="H50" s="44"/>
      <c r="I50" s="44"/>
      <c r="J50" s="44"/>
      <c r="K50" s="44"/>
      <c r="L50" s="44"/>
      <c r="M50" s="44"/>
      <c r="N50" s="52"/>
      <c r="O50" s="52"/>
      <c r="P50" s="53"/>
      <c r="Q50" s="58"/>
      <c r="R50" s="44"/>
      <c r="S50" s="53"/>
      <c r="T50" s="58"/>
      <c r="U50" s="58"/>
      <c r="V50" s="52"/>
      <c r="W50" s="44"/>
      <c r="X50" s="44"/>
      <c r="Y50" s="44"/>
      <c r="Z50" s="44"/>
      <c r="AA50" s="44"/>
      <c r="AB50" s="44"/>
    </row>
    <row r="51" spans="1:28" s="35" customFormat="1" hidden="1">
      <c r="A51" s="44"/>
      <c r="B51" s="44"/>
      <c r="C51" s="44"/>
      <c r="D51" s="44"/>
      <c r="E51" s="44"/>
      <c r="F51" s="44"/>
      <c r="G51" s="44"/>
      <c r="H51" s="44"/>
      <c r="I51" s="44"/>
      <c r="J51" s="44"/>
      <c r="K51" s="44"/>
      <c r="L51" s="44"/>
      <c r="M51" s="44"/>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44"/>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44"/>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44"/>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44"/>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44"/>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44"/>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44"/>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44"/>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44"/>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44"/>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44"/>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44"/>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44"/>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44"/>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44"/>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44"/>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44"/>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44"/>
      <c r="N69" s="52"/>
      <c r="O69" s="52"/>
      <c r="P69" s="53"/>
      <c r="Q69" s="58"/>
      <c r="R69" s="44"/>
      <c r="S69" s="53"/>
      <c r="T69" s="58"/>
      <c r="U69" s="58"/>
      <c r="V69" s="44"/>
      <c r="W69" s="44"/>
      <c r="X69" s="44"/>
      <c r="Y69" s="44"/>
      <c r="Z69" s="44"/>
      <c r="AA69" s="44"/>
      <c r="AB69" s="44"/>
    </row>
    <row r="70" spans="1:28" s="35" customFormat="1" hidden="1">
      <c r="A70" s="44"/>
      <c r="B70" s="44"/>
      <c r="C70" s="44"/>
      <c r="D70" s="44"/>
      <c r="E70" s="44"/>
      <c r="F70" s="44"/>
      <c r="G70" s="44"/>
      <c r="H70" s="44"/>
      <c r="I70" s="44"/>
      <c r="J70" s="44"/>
      <c r="K70" s="44"/>
      <c r="L70" s="44"/>
      <c r="M70" s="44"/>
      <c r="N70" s="52"/>
      <c r="O70" s="52"/>
      <c r="P70" s="53"/>
      <c r="Q70" s="58"/>
      <c r="R70" s="44"/>
      <c r="S70" s="53"/>
      <c r="T70" s="58"/>
      <c r="U70" s="58"/>
      <c r="V70" s="44"/>
      <c r="W70" s="44"/>
      <c r="X70" s="44"/>
      <c r="Y70" s="44"/>
      <c r="Z70" s="44"/>
      <c r="AA70" s="44"/>
      <c r="AB70" s="44"/>
    </row>
    <row r="71" spans="1:28" s="34" customFormat="1" ht="98" hidden="1">
      <c r="A71" s="43">
        <v>4</v>
      </c>
      <c r="B71" s="43" t="str">
        <f>B49</f>
        <v>四川科华展示设备有限公司</v>
      </c>
      <c r="C71" s="43" t="str">
        <f t="shared" ref="C71:G71" si="4">C49</f>
        <v>成都市新都区市场监督管理局</v>
      </c>
      <c r="D71" s="43" t="str">
        <f t="shared" si="4"/>
        <v>91510114765372711T</v>
      </c>
      <c r="E71" s="43" t="str">
        <f t="shared" si="4"/>
        <v>有限责任公司（自然人投资或控股）</v>
      </c>
      <c r="F71" s="43" t="str">
        <f t="shared" si="4"/>
        <v>成都市新都区税务局</v>
      </c>
      <c r="G71" s="43" t="str">
        <f t="shared" si="4"/>
        <v>4402035309000039679中国工商银行成都新都西南石油大学支行</v>
      </c>
      <c r="H71" s="43"/>
      <c r="I71" s="43"/>
      <c r="J71" s="43"/>
      <c r="K71" s="43"/>
      <c r="L71" s="43"/>
      <c r="M71" s="43"/>
      <c r="N71" s="50"/>
      <c r="O71" s="50"/>
      <c r="P71" s="43"/>
      <c r="Q71" s="55">
        <f>SUM(Q72:Q92)</f>
        <v>0</v>
      </c>
      <c r="R71" s="43"/>
      <c r="S71" s="43"/>
      <c r="T71" s="43">
        <f>SUM(T72:T92)</f>
        <v>0</v>
      </c>
      <c r="U71" s="43"/>
      <c r="V71" s="50"/>
      <c r="W71" s="43"/>
      <c r="X71" s="64"/>
      <c r="Y71" s="43">
        <f>ROUNDUP(IF((O71-N71+1)*K71*X71/365&gt;R71,R71,(O71-N71+1)*K71*X71/365),2)</f>
        <v>0</v>
      </c>
      <c r="Z71" s="43"/>
      <c r="AA71" s="43"/>
      <c r="AB71" s="43"/>
    </row>
    <row r="72" spans="1:28" s="35" customFormat="1" hidden="1">
      <c r="A72" s="44"/>
      <c r="B72" s="44"/>
      <c r="C72" s="44"/>
      <c r="D72" s="44"/>
      <c r="E72" s="44"/>
      <c r="F72" s="44"/>
      <c r="G72" s="44"/>
      <c r="H72" s="44"/>
      <c r="I72" s="44"/>
      <c r="J72" s="44"/>
      <c r="K72" s="44"/>
      <c r="L72" s="44"/>
      <c r="M72" s="44"/>
      <c r="N72" s="52"/>
      <c r="O72" s="52"/>
      <c r="P72" s="53"/>
      <c r="Q72" s="58"/>
      <c r="R72" s="44"/>
      <c r="S72" s="53"/>
      <c r="T72" s="58"/>
      <c r="U72" s="58"/>
      <c r="V72" s="52"/>
      <c r="W72" s="44"/>
      <c r="X72" s="44"/>
      <c r="Y72" s="44"/>
      <c r="Z72" s="44"/>
      <c r="AA72" s="44"/>
      <c r="AB72" s="44"/>
    </row>
    <row r="73" spans="1:28" s="35" customFormat="1" hidden="1">
      <c r="A73" s="44"/>
      <c r="B73" s="44"/>
      <c r="C73" s="44"/>
      <c r="D73" s="44"/>
      <c r="E73" s="44"/>
      <c r="F73" s="44"/>
      <c r="G73" s="44"/>
      <c r="H73" s="44"/>
      <c r="I73" s="44"/>
      <c r="J73" s="44"/>
      <c r="K73" s="44"/>
      <c r="L73" s="44"/>
      <c r="M73" s="44"/>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44"/>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44"/>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44"/>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44"/>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44"/>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44"/>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44"/>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44"/>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44"/>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44"/>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44"/>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44"/>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44"/>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44"/>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44"/>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44"/>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44"/>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44"/>
      <c r="N91" s="52"/>
      <c r="O91" s="52"/>
      <c r="P91" s="53"/>
      <c r="Q91" s="58"/>
      <c r="R91" s="44"/>
      <c r="S91" s="53"/>
      <c r="T91" s="58"/>
      <c r="U91" s="58"/>
      <c r="V91" s="44"/>
      <c r="W91" s="44"/>
      <c r="X91" s="44"/>
      <c r="Y91" s="44"/>
      <c r="Z91" s="44"/>
      <c r="AA91" s="44"/>
      <c r="AB91" s="44"/>
    </row>
    <row r="92" spans="1:28" s="35" customFormat="1" hidden="1">
      <c r="A92" s="44"/>
      <c r="B92" s="44"/>
      <c r="C92" s="44"/>
      <c r="D92" s="44"/>
      <c r="E92" s="44"/>
      <c r="F92" s="44"/>
      <c r="G92" s="44"/>
      <c r="H92" s="44"/>
      <c r="I92" s="44"/>
      <c r="J92" s="44"/>
      <c r="K92" s="44"/>
      <c r="L92" s="44"/>
      <c r="M92" s="44"/>
      <c r="N92" s="52"/>
      <c r="O92" s="52"/>
      <c r="P92" s="53"/>
      <c r="Q92" s="58"/>
      <c r="R92" s="44"/>
      <c r="S92" s="53"/>
      <c r="T92" s="58"/>
      <c r="U92" s="58"/>
      <c r="V92" s="44"/>
      <c r="W92" s="44"/>
      <c r="X92" s="44"/>
      <c r="Y92" s="44"/>
      <c r="Z92" s="44"/>
      <c r="AA92" s="44"/>
      <c r="AB92" s="44"/>
    </row>
    <row r="93" spans="1:28" s="34" customFormat="1" ht="98" hidden="1">
      <c r="A93" s="43">
        <v>5</v>
      </c>
      <c r="B93" s="43" t="str">
        <f>B71</f>
        <v>四川科华展示设备有限公司</v>
      </c>
      <c r="C93" s="43" t="str">
        <f t="shared" ref="C93:G93" si="5">C71</f>
        <v>成都市新都区市场监督管理局</v>
      </c>
      <c r="D93" s="43" t="str">
        <f t="shared" si="5"/>
        <v>91510114765372711T</v>
      </c>
      <c r="E93" s="43" t="str">
        <f t="shared" si="5"/>
        <v>有限责任公司（自然人投资或控股）</v>
      </c>
      <c r="F93" s="43" t="str">
        <f t="shared" si="5"/>
        <v>成都市新都区税务局</v>
      </c>
      <c r="G93" s="43" t="str">
        <f t="shared" si="5"/>
        <v>4402035309000039679中国工商银行成都新都西南石油大学支行</v>
      </c>
      <c r="H93" s="43"/>
      <c r="I93" s="43"/>
      <c r="J93" s="43"/>
      <c r="K93" s="43"/>
      <c r="L93" s="43"/>
      <c r="M93" s="43"/>
      <c r="N93" s="50"/>
      <c r="O93" s="50"/>
      <c r="P93" s="43"/>
      <c r="Q93" s="55">
        <f>SUM(Q94:Q114)</f>
        <v>0</v>
      </c>
      <c r="R93" s="43"/>
      <c r="S93" s="43"/>
      <c r="T93" s="43">
        <f>SUM(T94:T114)</f>
        <v>0</v>
      </c>
      <c r="U93" s="43"/>
      <c r="V93" s="50"/>
      <c r="W93" s="43"/>
      <c r="X93" s="64"/>
      <c r="Y93" s="43">
        <f>ROUNDUP(IF((O93-N93+1)*K93*X93/365&gt;R93,R93,(O93-N93+1)*K93*X93/365),2)</f>
        <v>0</v>
      </c>
      <c r="Z93" s="43"/>
      <c r="AA93" s="43"/>
      <c r="AB93" s="43"/>
    </row>
    <row r="94" spans="1:28" s="35" customFormat="1" hidden="1">
      <c r="A94" s="44"/>
      <c r="B94" s="44"/>
      <c r="C94" s="44"/>
      <c r="D94" s="44"/>
      <c r="E94" s="44"/>
      <c r="F94" s="44"/>
      <c r="G94" s="44"/>
      <c r="H94" s="44"/>
      <c r="I94" s="44"/>
      <c r="J94" s="44"/>
      <c r="K94" s="44"/>
      <c r="L94" s="44"/>
      <c r="M94" s="44"/>
      <c r="N94" s="52"/>
      <c r="O94" s="52"/>
      <c r="P94" s="53"/>
      <c r="Q94" s="58"/>
      <c r="R94" s="44"/>
      <c r="S94" s="53"/>
      <c r="T94" s="58"/>
      <c r="U94" s="58"/>
      <c r="V94" s="52"/>
      <c r="W94" s="44"/>
      <c r="X94" s="44"/>
      <c r="Y94" s="44"/>
      <c r="Z94" s="44"/>
      <c r="AA94" s="44"/>
      <c r="AB94" s="44"/>
    </row>
    <row r="95" spans="1:28" s="35" customFormat="1" hidden="1">
      <c r="A95" s="44"/>
      <c r="B95" s="44"/>
      <c r="C95" s="44"/>
      <c r="D95" s="44"/>
      <c r="E95" s="44"/>
      <c r="F95" s="44"/>
      <c r="G95" s="44"/>
      <c r="H95" s="44"/>
      <c r="I95" s="44"/>
      <c r="J95" s="44"/>
      <c r="K95" s="44"/>
      <c r="L95" s="44"/>
      <c r="M95" s="44"/>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44"/>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44"/>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44"/>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44"/>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44"/>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44"/>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44"/>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44"/>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44"/>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44"/>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44"/>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44"/>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44"/>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44"/>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44"/>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44"/>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44"/>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44"/>
      <c r="N113" s="52"/>
      <c r="O113" s="52"/>
      <c r="P113" s="53"/>
      <c r="Q113" s="58"/>
      <c r="R113" s="44"/>
      <c r="S113" s="53"/>
      <c r="T113" s="58"/>
      <c r="U113" s="58"/>
      <c r="V113" s="44"/>
      <c r="W113" s="44"/>
      <c r="X113" s="44"/>
      <c r="Y113" s="44"/>
      <c r="Z113" s="44"/>
      <c r="AA113" s="44"/>
      <c r="AB113" s="44"/>
    </row>
    <row r="114" spans="1:28" s="35" customFormat="1" hidden="1">
      <c r="A114" s="44"/>
      <c r="B114" s="44"/>
      <c r="C114" s="44"/>
      <c r="D114" s="44"/>
      <c r="E114" s="44"/>
      <c r="F114" s="44"/>
      <c r="G114" s="44"/>
      <c r="H114" s="44"/>
      <c r="I114" s="44"/>
      <c r="J114" s="44"/>
      <c r="K114" s="44"/>
      <c r="L114" s="44"/>
      <c r="M114" s="44"/>
      <c r="N114" s="52"/>
      <c r="O114" s="52"/>
      <c r="P114" s="53"/>
      <c r="Q114" s="58"/>
      <c r="R114" s="44"/>
      <c r="S114" s="53"/>
      <c r="T114" s="58"/>
      <c r="U114" s="58"/>
      <c r="V114" s="44"/>
      <c r="W114" s="44"/>
      <c r="X114" s="44"/>
      <c r="Y114" s="44"/>
      <c r="Z114" s="44"/>
      <c r="AA114" s="44"/>
      <c r="AB114" s="44"/>
    </row>
    <row r="115" spans="1:28" s="34" customFormat="1">
      <c r="A115" s="43" t="s">
        <v>48</v>
      </c>
      <c r="B115" s="43"/>
      <c r="C115" s="43"/>
      <c r="D115" s="43"/>
      <c r="E115" s="43"/>
      <c r="F115" s="43"/>
      <c r="G115" s="43"/>
      <c r="H115" s="43"/>
      <c r="I115" s="43"/>
      <c r="J115" s="43"/>
      <c r="K115" s="43">
        <f>K93+K71+K49+K27++K4</f>
        <v>50</v>
      </c>
      <c r="L115" s="43"/>
      <c r="M115" s="43"/>
      <c r="N115" s="50"/>
      <c r="O115" s="50"/>
      <c r="P115" s="43"/>
      <c r="Q115" s="43"/>
      <c r="R115" s="43"/>
      <c r="S115" s="43"/>
      <c r="T115" s="43"/>
      <c r="U115" s="43"/>
      <c r="V115" s="43"/>
      <c r="W115" s="43"/>
      <c r="X115" s="43"/>
      <c r="Y115" s="43">
        <f>Y93+Y71+Y49+Y27++Y4</f>
        <v>0.48</v>
      </c>
      <c r="Z115" s="43"/>
      <c r="AA115" s="43"/>
      <c r="AB115" s="43"/>
    </row>
    <row r="116" spans="1:28">
      <c r="I116" s="36" t="s">
        <v>49</v>
      </c>
      <c r="K116" s="36">
        <f>IF(K115&gt;3000,K117,K115)</f>
        <v>50</v>
      </c>
    </row>
    <row r="117" spans="1:28" hidden="1">
      <c r="K117" s="36">
        <f>IF(K116&gt;3000,K118,K116)</f>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成都星联芯通科技有限公司审计明细表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56">
      <c r="A4" s="9">
        <v>1</v>
      </c>
      <c r="B4" s="9" t="s">
        <v>237</v>
      </c>
      <c r="C4" s="9" t="s">
        <v>238</v>
      </c>
      <c r="D4" s="9" t="s">
        <v>239</v>
      </c>
      <c r="E4" s="9" t="s">
        <v>78</v>
      </c>
      <c r="F4" s="9" t="s">
        <v>238</v>
      </c>
      <c r="G4" s="20" t="s">
        <v>240</v>
      </c>
      <c r="H4" s="9" t="s">
        <v>71</v>
      </c>
      <c r="I4" s="9" t="s">
        <v>241</v>
      </c>
      <c r="J4" s="9" t="s">
        <v>58</v>
      </c>
      <c r="K4" s="9">
        <v>700</v>
      </c>
      <c r="L4" s="9" t="s">
        <v>242</v>
      </c>
      <c r="M4" s="20" t="s">
        <v>243</v>
      </c>
      <c r="N4" s="16">
        <v>44937</v>
      </c>
      <c r="O4" s="16">
        <v>45291</v>
      </c>
      <c r="P4" s="9">
        <f>P16-N4</f>
        <v>363</v>
      </c>
      <c r="Q4" s="22">
        <f>SUM(Q5:Q25)</f>
        <v>27.19</v>
      </c>
      <c r="R4" s="22">
        <v>10.210000000000001</v>
      </c>
      <c r="S4" s="9"/>
      <c r="T4" s="22">
        <f>SUM(T5:T25)</f>
        <v>27.19</v>
      </c>
      <c r="U4" s="23">
        <v>3.85E-2</v>
      </c>
      <c r="V4" s="16"/>
      <c r="W4" s="9" t="s">
        <v>42</v>
      </c>
      <c r="X4" s="24">
        <v>1.4999999999999999E-2</v>
      </c>
      <c r="Y4" s="9">
        <f>ROUNDDOWN(IF((O4-N4+1)*K4*X4/365&gt;R4,R4,(O4-N4+1)*K4*X4/365),2)</f>
        <v>10.210000000000001</v>
      </c>
      <c r="Z4" s="22">
        <f>R4-Y4</f>
        <v>0</v>
      </c>
      <c r="AA4" s="22"/>
      <c r="AB4" s="9" t="s">
        <v>61</v>
      </c>
      <c r="AD4" s="28">
        <f>(O4-N4+1)*K4*X4/365</f>
        <v>10.212300000000001</v>
      </c>
    </row>
    <row r="5" spans="1:30" s="2" customFormat="1">
      <c r="A5" s="10"/>
      <c r="B5" s="10"/>
      <c r="C5" s="10"/>
      <c r="D5" s="10"/>
      <c r="E5" s="10"/>
      <c r="F5" s="10"/>
      <c r="G5" s="10"/>
      <c r="H5" s="10"/>
      <c r="I5" s="10"/>
      <c r="J5" s="10"/>
      <c r="K5" s="10"/>
      <c r="L5" s="10"/>
      <c r="M5" s="17"/>
      <c r="N5" s="18"/>
      <c r="O5" s="16">
        <v>45300</v>
      </c>
      <c r="P5" s="19">
        <v>44978</v>
      </c>
      <c r="Q5" s="25">
        <v>3.07</v>
      </c>
      <c r="R5" s="10"/>
      <c r="S5" s="19">
        <f>P5</f>
        <v>44978</v>
      </c>
      <c r="T5" s="25">
        <f>(S5-N4)/360*$U$4*$K$4</f>
        <v>3.07</v>
      </c>
      <c r="U5" s="25">
        <f>T5-Q5</f>
        <v>0</v>
      </c>
      <c r="V5" s="18"/>
      <c r="W5" s="10"/>
      <c r="X5" s="10"/>
      <c r="Y5" s="10">
        <f>ROUNDDOWN((V5-N4)*K4*X4/365,2)</f>
        <v>-1292.7</v>
      </c>
      <c r="Z5" s="10"/>
      <c r="AA5" s="10"/>
      <c r="AB5" s="10"/>
    </row>
    <row r="6" spans="1:30" s="2" customFormat="1">
      <c r="A6" s="10"/>
      <c r="B6" s="10"/>
      <c r="C6" s="10"/>
      <c r="D6" s="10"/>
      <c r="E6" s="10"/>
      <c r="F6" s="10"/>
      <c r="G6" s="10"/>
      <c r="H6" s="10"/>
      <c r="I6" s="10"/>
      <c r="J6" s="10"/>
      <c r="K6" s="10"/>
      <c r="L6" s="10"/>
      <c r="M6" s="17"/>
      <c r="N6" s="18"/>
      <c r="O6" s="18"/>
      <c r="P6" s="19">
        <v>45006</v>
      </c>
      <c r="Q6" s="25">
        <v>2.1</v>
      </c>
      <c r="R6" s="10"/>
      <c r="S6" s="19">
        <f t="shared" ref="S6:S16" si="0">P6</f>
        <v>45006</v>
      </c>
      <c r="T6" s="25">
        <f>(S6-S5)*$K$4*$U$4/360</f>
        <v>2.1</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45037</v>
      </c>
      <c r="Q7" s="25">
        <v>2.3199999999999998</v>
      </c>
      <c r="R7" s="10"/>
      <c r="S7" s="19">
        <f t="shared" si="0"/>
        <v>45037</v>
      </c>
      <c r="T7" s="25">
        <f t="shared" ref="T7:T16" si="1">(S7-S6)*$K$4*$U$4/360</f>
        <v>2.3199999999999998</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45067</v>
      </c>
      <c r="Q8" s="25">
        <v>2.25</v>
      </c>
      <c r="R8" s="10"/>
      <c r="S8" s="19">
        <f t="shared" si="0"/>
        <v>45067</v>
      </c>
      <c r="T8" s="25">
        <f t="shared" si="1"/>
        <v>2.25</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45098</v>
      </c>
      <c r="Q9" s="25">
        <v>2.3199999999999998</v>
      </c>
      <c r="R9" s="10"/>
      <c r="S9" s="19">
        <f t="shared" si="0"/>
        <v>45098</v>
      </c>
      <c r="T9" s="25">
        <f t="shared" si="1"/>
        <v>2.3199999999999998</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45128</v>
      </c>
      <c r="Q10" s="114">
        <v>2.25</v>
      </c>
      <c r="R10" s="10"/>
      <c r="S10" s="19">
        <f t="shared" si="0"/>
        <v>45128</v>
      </c>
      <c r="T10" s="25">
        <f t="shared" si="1"/>
        <v>2.25</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45159</v>
      </c>
      <c r="Q11" s="25">
        <v>2.3199999999999998</v>
      </c>
      <c r="R11" s="10"/>
      <c r="S11" s="19">
        <f t="shared" si="0"/>
        <v>45159</v>
      </c>
      <c r="T11" s="25">
        <f t="shared" si="1"/>
        <v>2.3199999999999998</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45190</v>
      </c>
      <c r="Q12" s="25">
        <v>2.3199999999999998</v>
      </c>
      <c r="R12" s="10"/>
      <c r="S12" s="19">
        <f t="shared" si="0"/>
        <v>45190</v>
      </c>
      <c r="T12" s="25">
        <f t="shared" si="1"/>
        <v>2.3199999999999998</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45220</v>
      </c>
      <c r="Q13" s="25">
        <v>2.25</v>
      </c>
      <c r="R13" s="10"/>
      <c r="S13" s="19">
        <f t="shared" si="0"/>
        <v>45220</v>
      </c>
      <c r="T13" s="25">
        <f t="shared" si="1"/>
        <v>2.25</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45251</v>
      </c>
      <c r="Q14" s="25">
        <v>2.3199999999999998</v>
      </c>
      <c r="R14" s="10"/>
      <c r="S14" s="19">
        <f t="shared" si="0"/>
        <v>45251</v>
      </c>
      <c r="T14" s="25">
        <f t="shared" si="1"/>
        <v>2.3199999999999998</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45281</v>
      </c>
      <c r="Q15" s="25">
        <v>2.25</v>
      </c>
      <c r="R15" s="10"/>
      <c r="S15" s="19">
        <f t="shared" si="0"/>
        <v>45281</v>
      </c>
      <c r="T15" s="25">
        <f t="shared" si="1"/>
        <v>2.25</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45300</v>
      </c>
      <c r="Q16" s="25">
        <v>1.42</v>
      </c>
      <c r="R16" s="10"/>
      <c r="S16" s="19">
        <f t="shared" si="0"/>
        <v>45300</v>
      </c>
      <c r="T16" s="25">
        <f t="shared" si="1"/>
        <v>1.42</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成都星联芯通科技有限公司</v>
      </c>
      <c r="C26" s="9" t="str">
        <f t="shared" ref="C26:G26" si="3">C4</f>
        <v>高新区</v>
      </c>
      <c r="D26" s="9" t="str">
        <f t="shared" si="3"/>
        <v>91510100331925075E</v>
      </c>
      <c r="E26" s="9" t="str">
        <f t="shared" si="3"/>
        <v>民营企业</v>
      </c>
      <c r="F26" s="9" t="str">
        <f t="shared" si="3"/>
        <v>高新区</v>
      </c>
      <c r="G26" s="9" t="str">
        <f t="shared" si="3"/>
        <v>4402275219100024845</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42" hidden="1">
      <c r="A48" s="9">
        <v>3</v>
      </c>
      <c r="B48" s="9" t="str">
        <f>B26</f>
        <v>成都星联芯通科技有限公司</v>
      </c>
      <c r="C48" s="9" t="str">
        <f t="shared" ref="C48:G48" si="7">C26</f>
        <v>高新区</v>
      </c>
      <c r="D48" s="9" t="str">
        <f t="shared" si="7"/>
        <v>91510100331925075E</v>
      </c>
      <c r="E48" s="9" t="str">
        <f t="shared" si="7"/>
        <v>民营企业</v>
      </c>
      <c r="F48" s="9" t="str">
        <f t="shared" si="7"/>
        <v>高新区</v>
      </c>
      <c r="G48" s="9" t="str">
        <f t="shared" si="7"/>
        <v>4402275219100024845</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42" hidden="1">
      <c r="A70" s="9">
        <v>4</v>
      </c>
      <c r="B70" s="9" t="str">
        <f>B48</f>
        <v>成都星联芯通科技有限公司</v>
      </c>
      <c r="C70" s="9" t="str">
        <f t="shared" ref="C70:G70" si="10">C48</f>
        <v>高新区</v>
      </c>
      <c r="D70" s="9" t="str">
        <f t="shared" si="10"/>
        <v>91510100331925075E</v>
      </c>
      <c r="E70" s="9" t="str">
        <f t="shared" si="10"/>
        <v>民营企业</v>
      </c>
      <c r="F70" s="9" t="str">
        <f t="shared" si="10"/>
        <v>高新区</v>
      </c>
      <c r="G70" s="9" t="str">
        <f t="shared" si="10"/>
        <v>4402275219100024845</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42" hidden="1">
      <c r="A92" s="9">
        <v>5</v>
      </c>
      <c r="B92" s="9" t="str">
        <f>B70</f>
        <v>成都星联芯通科技有限公司</v>
      </c>
      <c r="C92" s="9" t="str">
        <f t="shared" ref="C92:G92" si="11">C70</f>
        <v>高新区</v>
      </c>
      <c r="D92" s="9" t="str">
        <f t="shared" si="11"/>
        <v>91510100331925075E</v>
      </c>
      <c r="E92" s="9" t="str">
        <f t="shared" si="11"/>
        <v>民营企业</v>
      </c>
      <c r="F92" s="9" t="str">
        <f t="shared" si="11"/>
        <v>高新区</v>
      </c>
      <c r="G92" s="9" t="str">
        <f t="shared" si="11"/>
        <v>4402275219100024845</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700</v>
      </c>
      <c r="L114" s="9"/>
      <c r="M114" s="20"/>
      <c r="N114" s="16"/>
      <c r="O114" s="16"/>
      <c r="P114" s="9"/>
      <c r="Q114" s="9"/>
      <c r="R114" s="9">
        <f>R92+R70+R48+R26++R4</f>
        <v>10.210000000000001</v>
      </c>
      <c r="S114" s="9"/>
      <c r="T114" s="9"/>
      <c r="U114" s="9"/>
      <c r="V114" s="9"/>
      <c r="W114" s="9"/>
      <c r="X114" s="9"/>
      <c r="Y114" s="9">
        <f>Y92+Y70+Y48+Y26++Y4</f>
        <v>10.210000000000001</v>
      </c>
      <c r="Z114" s="9"/>
      <c r="AA114" s="9"/>
      <c r="AB114" s="9"/>
    </row>
    <row r="115" spans="1:28">
      <c r="I115" t="s">
        <v>49</v>
      </c>
      <c r="K115">
        <f>IF(K114&gt;3000,K116,K114)</f>
        <v>700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AD116"/>
  <sheetViews>
    <sheetView zoomScale="80" zoomScaleNormal="80" workbookViewId="0">
      <pane ySplit="3" topLeftCell="A4" activePane="bottomLeft" state="frozen"/>
      <selection pane="bottomLeft" activeCell="K12" sqref="K12"/>
    </sheetView>
  </sheetViews>
  <sheetFormatPr defaultColWidth="8.58203125" defaultRowHeight="14"/>
  <cols>
    <col min="1" max="6" width="8.58203125" style="36"/>
    <col min="7" max="7" width="9" style="36" customWidth="1"/>
    <col min="8" max="12" width="8.58203125" style="36"/>
    <col min="13" max="13" width="8.58203125" style="37"/>
    <col min="14" max="15" width="10.75" style="38" customWidth="1"/>
    <col min="16" max="16" width="9.83203125" style="36" customWidth="1"/>
    <col min="17" max="18" width="8.58203125" style="36"/>
    <col min="19" max="19" width="9.83203125" style="36" customWidth="1"/>
    <col min="20" max="21" width="8.58203125" style="36"/>
    <col min="22" max="22" width="11.5" style="36" customWidth="1"/>
    <col min="23" max="23" width="11.08203125" style="36" customWidth="1"/>
    <col min="24" max="24" width="8.58203125" style="36"/>
    <col min="25" max="25" width="11.75" style="36" customWidth="1"/>
    <col min="26" max="28" width="8.58203125" style="36"/>
    <col min="29" max="29" width="8.58203125" style="36" hidden="1" customWidth="1"/>
    <col min="30" max="30" width="11.75" style="36" customWidth="1"/>
    <col min="31" max="16384" width="8.58203125" style="36"/>
  </cols>
  <sheetData>
    <row r="1" spans="1:30" ht="25">
      <c r="B1" s="163" t="str">
        <f>B4&amp;AC1</f>
        <v>成都国铁电气设备有限公司审计明细表</v>
      </c>
      <c r="C1" s="163"/>
      <c r="D1" s="163"/>
      <c r="E1" s="163"/>
      <c r="F1" s="163"/>
      <c r="G1" s="163"/>
      <c r="H1" s="163"/>
      <c r="I1" s="163"/>
      <c r="J1" s="163"/>
      <c r="K1" s="163"/>
      <c r="L1" s="163"/>
      <c r="M1" s="163"/>
      <c r="N1" s="163"/>
      <c r="O1" s="163"/>
      <c r="P1" s="163"/>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5"/>
      <c r="Q2" s="165"/>
      <c r="R2" s="165"/>
      <c r="S2" s="167" t="s">
        <v>10</v>
      </c>
      <c r="T2" s="167"/>
      <c r="U2" s="167"/>
      <c r="V2" s="167"/>
      <c r="W2" s="167"/>
      <c r="X2" s="167"/>
      <c r="Y2" s="167"/>
      <c r="Z2" s="41"/>
      <c r="AA2" s="41"/>
      <c r="AB2" s="167" t="s">
        <v>11</v>
      </c>
    </row>
    <row r="3" spans="1:30" ht="42">
      <c r="A3" s="169"/>
      <c r="B3" s="169"/>
      <c r="C3" s="170"/>
      <c r="D3" s="170"/>
      <c r="E3" s="172"/>
      <c r="F3" s="172"/>
      <c r="G3" s="170"/>
      <c r="H3" s="172"/>
      <c r="I3" s="45" t="s">
        <v>12</v>
      </c>
      <c r="J3" s="40" t="s">
        <v>13</v>
      </c>
      <c r="K3" s="41" t="s">
        <v>14</v>
      </c>
      <c r="L3" s="42" t="s">
        <v>15</v>
      </c>
      <c r="M3" s="46" t="s">
        <v>16</v>
      </c>
      <c r="N3" s="47" t="s">
        <v>17</v>
      </c>
      <c r="O3" s="47" t="s">
        <v>18</v>
      </c>
      <c r="P3" s="48"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612</v>
      </c>
      <c r="C4" s="43" t="s">
        <v>52</v>
      </c>
      <c r="D4" s="43" t="s">
        <v>1706</v>
      </c>
      <c r="E4" s="43" t="s">
        <v>121</v>
      </c>
      <c r="F4" s="43" t="s">
        <v>787</v>
      </c>
      <c r="G4" s="43" t="s">
        <v>1707</v>
      </c>
      <c r="H4" s="43" t="s">
        <v>818</v>
      </c>
      <c r="I4" s="43" t="s">
        <v>883</v>
      </c>
      <c r="J4" s="43" t="s">
        <v>168</v>
      </c>
      <c r="K4" s="43">
        <v>3000</v>
      </c>
      <c r="L4" s="43" t="s">
        <v>1708</v>
      </c>
      <c r="M4" s="49" t="s">
        <v>1709</v>
      </c>
      <c r="N4" s="50">
        <v>44872</v>
      </c>
      <c r="O4" s="50">
        <v>45236</v>
      </c>
      <c r="P4" s="43">
        <f>P17-N4</f>
        <v>364</v>
      </c>
      <c r="Q4" s="55">
        <f>SUM(Q5:Q25)</f>
        <v>125.2</v>
      </c>
      <c r="R4" s="55">
        <v>60</v>
      </c>
      <c r="S4" s="43"/>
      <c r="T4" s="55">
        <f>SUM(T5:T25)</f>
        <v>125.9</v>
      </c>
      <c r="U4" s="56">
        <v>4.1500000000000002E-2</v>
      </c>
      <c r="V4" s="50"/>
      <c r="W4" s="50" t="s">
        <v>1710</v>
      </c>
      <c r="X4" s="57">
        <v>0.02</v>
      </c>
      <c r="Y4" s="55">
        <f>Y5+Y6</f>
        <v>59.6</v>
      </c>
      <c r="Z4" s="55">
        <f>R4-Y4</f>
        <v>0.4</v>
      </c>
      <c r="AA4" s="55" t="s">
        <v>108</v>
      </c>
      <c r="AB4" s="43" t="s">
        <v>61</v>
      </c>
      <c r="AD4" s="61">
        <f>(O4-N4+1)*K4*X4/365</f>
        <v>60</v>
      </c>
    </row>
    <row r="5" spans="1:30" s="35" customFormat="1">
      <c r="A5" s="44"/>
      <c r="B5" s="44"/>
      <c r="C5" s="44"/>
      <c r="D5" s="44"/>
      <c r="E5" s="44"/>
      <c r="F5" s="44"/>
      <c r="G5" s="44"/>
      <c r="H5" s="44"/>
      <c r="I5" s="44"/>
      <c r="J5" s="44"/>
      <c r="K5" s="44"/>
      <c r="L5" s="44"/>
      <c r="M5" s="51"/>
      <c r="N5" s="52"/>
      <c r="O5" s="52"/>
      <c r="P5" s="53">
        <v>44916</v>
      </c>
      <c r="Q5" s="58">
        <v>15.22</v>
      </c>
      <c r="R5" s="44"/>
      <c r="S5" s="53">
        <f t="shared" ref="S5:S17" si="0">P5</f>
        <v>44916</v>
      </c>
      <c r="T5" s="58">
        <f>(S5-N4)/360*$U$4*$K$4</f>
        <v>15.22</v>
      </c>
      <c r="U5" s="58">
        <f>T5-Q5</f>
        <v>0</v>
      </c>
      <c r="V5" s="52">
        <v>45230</v>
      </c>
      <c r="W5" s="44">
        <v>1000</v>
      </c>
      <c r="X5" s="44"/>
      <c r="Y5" s="62">
        <f>ROUNDDOWN((V5-N4)*K4*X4/365,2)</f>
        <v>58.84</v>
      </c>
      <c r="Z5" s="44"/>
      <c r="AA5" s="44"/>
      <c r="AB5" s="44"/>
    </row>
    <row r="6" spans="1:30" s="35" customFormat="1">
      <c r="A6" s="44"/>
      <c r="B6" s="44"/>
      <c r="C6" s="44"/>
      <c r="D6" s="44"/>
      <c r="E6" s="44"/>
      <c r="F6" s="44"/>
      <c r="G6" s="44"/>
      <c r="H6" s="44"/>
      <c r="I6" s="44"/>
      <c r="J6" s="44"/>
      <c r="K6" s="44"/>
      <c r="L6" s="44"/>
      <c r="M6" s="51"/>
      <c r="N6" s="52"/>
      <c r="O6" s="52"/>
      <c r="P6" s="53">
        <v>44947</v>
      </c>
      <c r="Q6" s="58">
        <v>10.72</v>
      </c>
      <c r="R6" s="44"/>
      <c r="S6" s="53">
        <f t="shared" si="0"/>
        <v>44947</v>
      </c>
      <c r="T6" s="58">
        <f t="shared" ref="T6:T17" si="1">(S6-S5)*$K$4*$U$4/360</f>
        <v>10.72</v>
      </c>
      <c r="U6" s="58">
        <f t="shared" ref="U6:U17" si="2">T6-Q6</f>
        <v>0</v>
      </c>
      <c r="V6" s="44"/>
      <c r="W6" s="44"/>
      <c r="X6" s="44"/>
      <c r="Y6" s="62">
        <f>ROUNDDOWN((O4-V5+1)*(K4-W5)*X4/365,2)</f>
        <v>0.76</v>
      </c>
      <c r="Z6" s="44"/>
      <c r="AA6" s="44"/>
      <c r="AB6" s="44"/>
    </row>
    <row r="7" spans="1:30" s="35" customFormat="1">
      <c r="A7" s="44"/>
      <c r="B7" s="44"/>
      <c r="C7" s="44"/>
      <c r="D7" s="44"/>
      <c r="E7" s="44"/>
      <c r="F7" s="44"/>
      <c r="G7" s="44"/>
      <c r="H7" s="44"/>
      <c r="I7" s="44"/>
      <c r="J7" s="44"/>
      <c r="K7" s="44"/>
      <c r="L7" s="44"/>
      <c r="M7" s="51"/>
      <c r="N7" s="52"/>
      <c r="O7" s="52"/>
      <c r="P7" s="53">
        <v>44978</v>
      </c>
      <c r="Q7" s="58">
        <v>10.72</v>
      </c>
      <c r="R7" s="44"/>
      <c r="S7" s="53">
        <f t="shared" si="0"/>
        <v>44978</v>
      </c>
      <c r="T7" s="58">
        <f t="shared" si="1"/>
        <v>10.72</v>
      </c>
      <c r="U7" s="58">
        <f t="shared" si="2"/>
        <v>0</v>
      </c>
      <c r="V7" s="44"/>
      <c r="W7" s="44"/>
      <c r="X7" s="44"/>
      <c r="Y7" s="44"/>
      <c r="Z7" s="44"/>
      <c r="AA7" s="44"/>
      <c r="AB7" s="44"/>
    </row>
    <row r="8" spans="1:30" s="35" customFormat="1">
      <c r="A8" s="44"/>
      <c r="B8" s="44"/>
      <c r="C8" s="44"/>
      <c r="D8" s="44"/>
      <c r="E8" s="44"/>
      <c r="F8" s="44"/>
      <c r="G8" s="44"/>
      <c r="H8" s="44"/>
      <c r="I8" s="44"/>
      <c r="J8" s="44"/>
      <c r="K8" s="44"/>
      <c r="L8" s="44"/>
      <c r="M8" s="51"/>
      <c r="N8" s="52"/>
      <c r="O8" s="52"/>
      <c r="P8" s="53">
        <v>45006</v>
      </c>
      <c r="Q8" s="58">
        <v>9.68</v>
      </c>
      <c r="R8" s="44"/>
      <c r="S8" s="53">
        <f t="shared" si="0"/>
        <v>45006</v>
      </c>
      <c r="T8" s="58">
        <f t="shared" si="1"/>
        <v>9.68</v>
      </c>
      <c r="U8" s="58">
        <f t="shared" si="2"/>
        <v>0</v>
      </c>
      <c r="V8" s="44"/>
      <c r="W8" s="44"/>
      <c r="X8" s="44"/>
      <c r="Y8" s="44"/>
      <c r="Z8" s="44"/>
      <c r="AA8" s="44"/>
      <c r="AB8" s="44"/>
    </row>
    <row r="9" spans="1:30" s="35" customFormat="1">
      <c r="A9" s="44"/>
      <c r="B9" s="44"/>
      <c r="C9" s="44"/>
      <c r="D9" s="44"/>
      <c r="E9" s="44"/>
      <c r="F9" s="44"/>
      <c r="G9" s="44"/>
      <c r="H9" s="44"/>
      <c r="I9" s="44"/>
      <c r="J9" s="44"/>
      <c r="K9" s="44"/>
      <c r="L9" s="44"/>
      <c r="M9" s="51"/>
      <c r="N9" s="52"/>
      <c r="O9" s="52"/>
      <c r="P9" s="53">
        <v>45037</v>
      </c>
      <c r="Q9" s="58">
        <v>10.72</v>
      </c>
      <c r="R9" s="44"/>
      <c r="S9" s="53">
        <f t="shared" si="0"/>
        <v>45037</v>
      </c>
      <c r="T9" s="58">
        <f t="shared" si="1"/>
        <v>10.72</v>
      </c>
      <c r="U9" s="58">
        <f t="shared" si="2"/>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53">
        <v>45067</v>
      </c>
      <c r="Q10" s="58">
        <v>10.38</v>
      </c>
      <c r="R10" s="44"/>
      <c r="S10" s="53">
        <f t="shared" si="0"/>
        <v>45067</v>
      </c>
      <c r="T10" s="58">
        <f t="shared" si="1"/>
        <v>10.38</v>
      </c>
      <c r="U10" s="58">
        <f t="shared" si="2"/>
        <v>0</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53">
        <v>45098</v>
      </c>
      <c r="Q11" s="58">
        <v>10.72</v>
      </c>
      <c r="R11" s="44"/>
      <c r="S11" s="53">
        <f t="shared" si="0"/>
        <v>45098</v>
      </c>
      <c r="T11" s="58">
        <f t="shared" si="1"/>
        <v>10.72</v>
      </c>
      <c r="U11" s="58">
        <f t="shared" si="2"/>
        <v>0</v>
      </c>
      <c r="V11" s="44"/>
      <c r="W11" s="44"/>
      <c r="X11" s="44"/>
      <c r="Y11" s="44"/>
      <c r="Z11" s="44"/>
      <c r="AA11" s="44"/>
      <c r="AB11" s="44"/>
    </row>
    <row r="12" spans="1:30" s="35" customFormat="1">
      <c r="A12" s="44"/>
      <c r="B12" s="44"/>
      <c r="C12" s="44"/>
      <c r="D12" s="44"/>
      <c r="E12" s="44"/>
      <c r="F12" s="44"/>
      <c r="G12" s="44"/>
      <c r="H12" s="44"/>
      <c r="I12" s="44"/>
      <c r="J12" s="44"/>
      <c r="K12" s="44"/>
      <c r="L12" s="44"/>
      <c r="M12" s="51"/>
      <c r="N12" s="52"/>
      <c r="O12" s="52"/>
      <c r="P12" s="53">
        <v>45128</v>
      </c>
      <c r="Q12" s="58">
        <v>10.38</v>
      </c>
      <c r="R12" s="44"/>
      <c r="S12" s="53">
        <f t="shared" si="0"/>
        <v>45128</v>
      </c>
      <c r="T12" s="58">
        <f t="shared" si="1"/>
        <v>10.38</v>
      </c>
      <c r="U12" s="58">
        <f t="shared" si="2"/>
        <v>0</v>
      </c>
      <c r="V12" s="44"/>
      <c r="W12" s="44"/>
      <c r="X12" s="44"/>
      <c r="Y12" s="44"/>
      <c r="Z12" s="44"/>
      <c r="AA12" s="44"/>
      <c r="AB12" s="44"/>
    </row>
    <row r="13" spans="1:30" s="35" customFormat="1">
      <c r="A13" s="44"/>
      <c r="B13" s="44"/>
      <c r="C13" s="44"/>
      <c r="D13" s="44"/>
      <c r="E13" s="44"/>
      <c r="F13" s="44"/>
      <c r="G13" s="44"/>
      <c r="H13" s="44"/>
      <c r="I13" s="44"/>
      <c r="J13" s="44"/>
      <c r="K13" s="44"/>
      <c r="L13" s="44"/>
      <c r="M13" s="51"/>
      <c r="N13" s="52"/>
      <c r="O13" s="52"/>
      <c r="P13" s="53">
        <v>45159</v>
      </c>
      <c r="Q13" s="58">
        <v>10.72</v>
      </c>
      <c r="R13" s="44"/>
      <c r="S13" s="53">
        <f t="shared" si="0"/>
        <v>45159</v>
      </c>
      <c r="T13" s="58">
        <f t="shared" si="1"/>
        <v>10.72</v>
      </c>
      <c r="U13" s="58">
        <f t="shared" si="2"/>
        <v>0</v>
      </c>
      <c r="V13" s="44"/>
      <c r="W13" s="44"/>
      <c r="X13" s="44"/>
      <c r="Y13" s="44"/>
      <c r="Z13" s="44"/>
      <c r="AA13" s="44"/>
      <c r="AB13" s="44"/>
    </row>
    <row r="14" spans="1:30" s="35" customFormat="1">
      <c r="A14" s="44"/>
      <c r="B14" s="44"/>
      <c r="C14" s="44"/>
      <c r="D14" s="44"/>
      <c r="E14" s="44"/>
      <c r="F14" s="44"/>
      <c r="G14" s="44"/>
      <c r="H14" s="44"/>
      <c r="I14" s="44"/>
      <c r="J14" s="44"/>
      <c r="K14" s="44"/>
      <c r="L14" s="44"/>
      <c r="M14" s="51"/>
      <c r="N14" s="52"/>
      <c r="O14" s="52"/>
      <c r="P14" s="53">
        <v>45190</v>
      </c>
      <c r="Q14" s="58">
        <v>10.72</v>
      </c>
      <c r="R14" s="44"/>
      <c r="S14" s="53">
        <f t="shared" si="0"/>
        <v>45190</v>
      </c>
      <c r="T14" s="58">
        <f t="shared" si="1"/>
        <v>10.72</v>
      </c>
      <c r="U14" s="58">
        <f t="shared" si="2"/>
        <v>0</v>
      </c>
      <c r="V14" s="44"/>
      <c r="W14" s="44"/>
      <c r="X14" s="44"/>
      <c r="Y14" s="44"/>
      <c r="Z14" s="44"/>
      <c r="AA14" s="44"/>
      <c r="AB14" s="44"/>
    </row>
    <row r="15" spans="1:30" s="35" customFormat="1">
      <c r="A15" s="44"/>
      <c r="B15" s="44"/>
      <c r="C15" s="44"/>
      <c r="D15" s="44"/>
      <c r="E15" s="44"/>
      <c r="F15" s="44"/>
      <c r="G15" s="44"/>
      <c r="H15" s="44"/>
      <c r="I15" s="44"/>
      <c r="J15" s="44"/>
      <c r="K15" s="44"/>
      <c r="L15" s="44"/>
      <c r="M15" s="51"/>
      <c r="N15" s="52"/>
      <c r="O15" s="52"/>
      <c r="P15" s="53">
        <v>45220</v>
      </c>
      <c r="Q15" s="58">
        <v>10.38</v>
      </c>
      <c r="R15" s="44"/>
      <c r="S15" s="53">
        <f t="shared" si="0"/>
        <v>45220</v>
      </c>
      <c r="T15" s="58">
        <f t="shared" si="1"/>
        <v>10.38</v>
      </c>
      <c r="U15" s="58">
        <f t="shared" si="2"/>
        <v>0</v>
      </c>
      <c r="V15" s="44"/>
      <c r="W15" s="44"/>
      <c r="X15" s="44"/>
      <c r="Y15" s="44"/>
      <c r="Z15" s="44"/>
      <c r="AA15" s="44"/>
      <c r="AB15" s="44"/>
    </row>
    <row r="16" spans="1:30" s="35" customFormat="1">
      <c r="A16" s="44"/>
      <c r="B16" s="44"/>
      <c r="C16" s="44"/>
      <c r="D16" s="44"/>
      <c r="E16" s="44"/>
      <c r="F16" s="44"/>
      <c r="G16" s="44"/>
      <c r="H16" s="44"/>
      <c r="I16" s="44"/>
      <c r="J16" s="44"/>
      <c r="K16" s="44"/>
      <c r="L16" s="44"/>
      <c r="M16" s="51"/>
      <c r="N16" s="52"/>
      <c r="O16" s="52"/>
      <c r="P16" s="53">
        <v>45230</v>
      </c>
      <c r="Q16" s="58">
        <v>1.1499999999999999</v>
      </c>
      <c r="R16" s="44"/>
      <c r="S16" s="53">
        <f t="shared" si="0"/>
        <v>45230</v>
      </c>
      <c r="T16" s="58">
        <f t="shared" si="1"/>
        <v>3.46</v>
      </c>
      <c r="U16" s="58">
        <f t="shared" si="2"/>
        <v>2.31</v>
      </c>
      <c r="V16" s="44"/>
      <c r="W16" s="44"/>
      <c r="X16" s="44"/>
      <c r="Y16" s="44"/>
      <c r="Z16" s="44"/>
      <c r="AA16" s="44"/>
      <c r="AB16" s="44"/>
    </row>
    <row r="17" spans="1:30" s="35" customFormat="1">
      <c r="A17" s="44"/>
      <c r="B17" s="44"/>
      <c r="C17" s="44"/>
      <c r="D17" s="44"/>
      <c r="E17" s="44"/>
      <c r="F17" s="44"/>
      <c r="G17" s="44"/>
      <c r="H17" s="44"/>
      <c r="I17" s="44"/>
      <c r="J17" s="44"/>
      <c r="K17" s="44"/>
      <c r="L17" s="44"/>
      <c r="M17" s="51"/>
      <c r="N17" s="52"/>
      <c r="O17" s="52"/>
      <c r="P17" s="53">
        <v>45236</v>
      </c>
      <c r="Q17" s="58">
        <v>3.69</v>
      </c>
      <c r="R17" s="44"/>
      <c r="S17" s="53">
        <f t="shared" si="0"/>
        <v>45236</v>
      </c>
      <c r="T17" s="58">
        <f t="shared" si="1"/>
        <v>2.08</v>
      </c>
      <c r="U17" s="58">
        <f t="shared" si="2"/>
        <v>-1.61</v>
      </c>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53"/>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53"/>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53"/>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53"/>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53"/>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53"/>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53"/>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53"/>
      <c r="Q25" s="58"/>
      <c r="R25" s="44"/>
      <c r="S25" s="53"/>
      <c r="T25" s="58"/>
      <c r="U25" s="58"/>
      <c r="V25" s="44"/>
      <c r="W25" s="44"/>
      <c r="X25" s="44"/>
      <c r="Y25" s="44"/>
      <c r="Z25" s="44"/>
      <c r="AA25" s="44"/>
      <c r="AB25" s="44"/>
    </row>
    <row r="26" spans="1:30" s="34" customFormat="1" ht="98" hidden="1">
      <c r="A26" s="43">
        <v>2</v>
      </c>
      <c r="B26" s="43" t="str">
        <f t="shared" ref="B26:G26" si="3">B4</f>
        <v>成都国铁电气设备有限公司</v>
      </c>
      <c r="C26" s="43" t="str">
        <f t="shared" si="3"/>
        <v>成都市市场监督管理局</v>
      </c>
      <c r="D26" s="43" t="str">
        <f t="shared" si="3"/>
        <v>91510122582616699R</v>
      </c>
      <c r="E26" s="43" t="str">
        <f t="shared" si="3"/>
        <v>其他有限责任公司</v>
      </c>
      <c r="F26" s="43" t="str">
        <f t="shared" si="3"/>
        <v>国家税务总局成都市双流区税务局</v>
      </c>
      <c r="G26" s="43" t="str">
        <f t="shared" si="3"/>
        <v>收款账号：125289305384
开户行：中行双流支行</v>
      </c>
      <c r="H26" s="43"/>
      <c r="I26" s="43"/>
      <c r="J26" s="43"/>
      <c r="K26" s="43"/>
      <c r="L26" s="43"/>
      <c r="M26" s="49"/>
      <c r="N26" s="50"/>
      <c r="O26" s="50"/>
      <c r="P26" s="43">
        <f>P32-N26</f>
        <v>0</v>
      </c>
      <c r="Q26" s="55">
        <f>SUM(Q27:Q47)</f>
        <v>0</v>
      </c>
      <c r="R26" s="43"/>
      <c r="S26" s="43"/>
      <c r="T26" s="43">
        <f>SUM(T27:T47)</f>
        <v>0</v>
      </c>
      <c r="U26" s="56"/>
      <c r="V26" s="50"/>
      <c r="W26" s="43"/>
      <c r="X26" s="57"/>
      <c r="Y26" s="43">
        <f>ROUNDDOWN(IF((O26-N26+1)*K26*X26/365&gt;R26,R26,(O26-N26+1)*K26*X26/365),2)</f>
        <v>0</v>
      </c>
      <c r="Z26" s="43"/>
      <c r="AA26" s="43"/>
      <c r="AB26" s="43"/>
      <c r="AD26" s="34">
        <f>(O26-N26+1)*K26*X26/365</f>
        <v>0</v>
      </c>
    </row>
    <row r="27" spans="1:30" s="35" customFormat="1" hidden="1">
      <c r="A27" s="44"/>
      <c r="B27" s="44"/>
      <c r="C27" s="44"/>
      <c r="D27" s="44"/>
      <c r="E27" s="44"/>
      <c r="F27" s="44"/>
      <c r="G27" s="44"/>
      <c r="H27" s="44"/>
      <c r="I27" s="44"/>
      <c r="J27" s="44"/>
      <c r="K27" s="44"/>
      <c r="L27" s="44"/>
      <c r="M27" s="51"/>
      <c r="N27" s="52"/>
      <c r="O27" s="50"/>
      <c r="P27" s="53"/>
      <c r="Q27" s="58"/>
      <c r="R27" s="44"/>
      <c r="S27" s="53">
        <f t="shared" ref="S27:S32" si="4">P27</f>
        <v>0</v>
      </c>
      <c r="T27" s="58">
        <f>(S27-N26)/360*$U$26*$K$26</f>
        <v>0</v>
      </c>
      <c r="U27" s="58">
        <f t="shared" ref="U27:U32" si="5">T27-Q27</f>
        <v>0</v>
      </c>
      <c r="V27" s="52"/>
      <c r="W27" s="44"/>
      <c r="X27" s="44"/>
      <c r="Y27" s="62">
        <f>ROUNDDOWN((V27-N26)*K26*X26/365,2)</f>
        <v>0</v>
      </c>
      <c r="Z27" s="44"/>
      <c r="AA27" s="44"/>
      <c r="AB27" s="44"/>
    </row>
    <row r="28" spans="1:30" s="35" customFormat="1" hidden="1">
      <c r="A28" s="44"/>
      <c r="B28" s="44"/>
      <c r="C28" s="44"/>
      <c r="D28" s="44"/>
      <c r="E28" s="44"/>
      <c r="F28" s="44"/>
      <c r="G28" s="44"/>
      <c r="H28" s="44"/>
      <c r="I28" s="44"/>
      <c r="J28" s="44"/>
      <c r="K28" s="44"/>
      <c r="L28" s="44"/>
      <c r="M28" s="51"/>
      <c r="N28" s="52"/>
      <c r="O28" s="52"/>
      <c r="P28" s="53"/>
      <c r="Q28" s="58"/>
      <c r="R28" s="44"/>
      <c r="S28" s="53">
        <f t="shared" si="4"/>
        <v>0</v>
      </c>
      <c r="T28" s="58">
        <f>(S28-S27)*$U$26*$K$26/360</f>
        <v>0</v>
      </c>
      <c r="U28" s="58">
        <f t="shared" si="5"/>
        <v>0</v>
      </c>
      <c r="V28" s="44"/>
      <c r="W28" s="44"/>
      <c r="X28" s="44"/>
      <c r="Y28" s="62">
        <f>ROUNDDOWN((O26-V27+1)*(K26-W27)*X26/365,2)</f>
        <v>0</v>
      </c>
      <c r="Z28" s="44"/>
      <c r="AA28" s="44"/>
      <c r="AB28" s="44"/>
    </row>
    <row r="29" spans="1:30" s="35" customFormat="1" hidden="1">
      <c r="A29" s="44"/>
      <c r="B29" s="44"/>
      <c r="C29" s="44"/>
      <c r="D29" s="44"/>
      <c r="E29" s="44"/>
      <c r="F29" s="44"/>
      <c r="G29" s="44"/>
      <c r="H29" s="44"/>
      <c r="I29" s="44"/>
      <c r="J29" s="44"/>
      <c r="K29" s="44"/>
      <c r="L29" s="44"/>
      <c r="M29" s="51"/>
      <c r="N29" s="52"/>
      <c r="O29" s="52"/>
      <c r="P29" s="53"/>
      <c r="Q29" s="58"/>
      <c r="R29" s="44"/>
      <c r="S29" s="53">
        <f t="shared" si="4"/>
        <v>0</v>
      </c>
      <c r="T29" s="58">
        <f>(S29-S28)*$U$26*$K$26/360</f>
        <v>0</v>
      </c>
      <c r="U29" s="58">
        <f t="shared" si="5"/>
        <v>0</v>
      </c>
      <c r="V29" s="44"/>
      <c r="W29" s="44"/>
      <c r="X29" s="44"/>
      <c r="Y29" s="44"/>
      <c r="Z29" s="44"/>
      <c r="AA29" s="44"/>
      <c r="AB29" s="44"/>
    </row>
    <row r="30" spans="1:30" s="35" customFormat="1" hidden="1">
      <c r="A30" s="44"/>
      <c r="B30" s="44"/>
      <c r="C30" s="44"/>
      <c r="D30" s="44"/>
      <c r="E30" s="44"/>
      <c r="F30" s="44"/>
      <c r="G30" s="44"/>
      <c r="H30" s="44"/>
      <c r="I30" s="44"/>
      <c r="J30" s="44"/>
      <c r="K30" s="44"/>
      <c r="L30" s="44"/>
      <c r="M30" s="51"/>
      <c r="N30" s="52"/>
      <c r="O30" s="52"/>
      <c r="P30" s="53"/>
      <c r="Q30" s="58"/>
      <c r="R30" s="44"/>
      <c r="S30" s="53">
        <f t="shared" si="4"/>
        <v>0</v>
      </c>
      <c r="T30" s="58">
        <f>(S30-S29)*$U$26*$K$26/360</f>
        <v>0</v>
      </c>
      <c r="U30" s="58">
        <f t="shared" si="5"/>
        <v>0</v>
      </c>
      <c r="V30" s="44"/>
      <c r="W30" s="44"/>
      <c r="X30" s="44"/>
      <c r="Y30" s="44"/>
      <c r="Z30" s="44"/>
      <c r="AA30" s="44"/>
      <c r="AB30" s="44"/>
    </row>
    <row r="31" spans="1:30" s="35" customFormat="1" hidden="1">
      <c r="A31" s="44"/>
      <c r="B31" s="44"/>
      <c r="C31" s="44"/>
      <c r="D31" s="44"/>
      <c r="E31" s="44"/>
      <c r="F31" s="44"/>
      <c r="G31" s="44"/>
      <c r="H31" s="44"/>
      <c r="I31" s="44"/>
      <c r="J31" s="44"/>
      <c r="K31" s="44"/>
      <c r="L31" s="44"/>
      <c r="M31" s="51"/>
      <c r="N31" s="52"/>
      <c r="O31" s="52"/>
      <c r="P31" s="53"/>
      <c r="Q31" s="58"/>
      <c r="R31" s="44"/>
      <c r="S31" s="53">
        <f t="shared" si="4"/>
        <v>0</v>
      </c>
      <c r="T31" s="58">
        <f>(S31-S30)*$U$26*$K$26/360</f>
        <v>0</v>
      </c>
      <c r="U31" s="58">
        <f t="shared" si="5"/>
        <v>0</v>
      </c>
      <c r="V31" s="44"/>
      <c r="W31" s="44"/>
      <c r="X31" s="44"/>
      <c r="Y31" s="44"/>
      <c r="Z31" s="44"/>
      <c r="AA31" s="44"/>
      <c r="AB31" s="44"/>
    </row>
    <row r="32" spans="1:30" s="35" customFormat="1" hidden="1">
      <c r="A32" s="44"/>
      <c r="B32" s="44"/>
      <c r="C32" s="44"/>
      <c r="D32" s="44"/>
      <c r="E32" s="44"/>
      <c r="F32" s="44"/>
      <c r="G32" s="44"/>
      <c r="H32" s="44"/>
      <c r="I32" s="44"/>
      <c r="J32" s="44"/>
      <c r="K32" s="44"/>
      <c r="L32" s="44"/>
      <c r="M32" s="51"/>
      <c r="N32" s="52"/>
      <c r="O32" s="52"/>
      <c r="P32" s="53"/>
      <c r="Q32" s="58"/>
      <c r="R32" s="44"/>
      <c r="S32" s="53">
        <f t="shared" si="4"/>
        <v>0</v>
      </c>
      <c r="T32" s="58">
        <f>(S32-S31)*$U$26*$K$26/360</f>
        <v>0</v>
      </c>
      <c r="U32" s="58">
        <f t="shared" si="5"/>
        <v>0</v>
      </c>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53"/>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53"/>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53"/>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53"/>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53"/>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53"/>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53"/>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53"/>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53"/>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53"/>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53"/>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53"/>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53"/>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53"/>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53"/>
      <c r="Q47" s="58"/>
      <c r="R47" s="44"/>
      <c r="S47" s="53"/>
      <c r="T47" s="58"/>
      <c r="U47" s="58"/>
      <c r="V47" s="44"/>
      <c r="W47" s="44"/>
      <c r="X47" s="44"/>
      <c r="Y47" s="44"/>
      <c r="Z47" s="44"/>
      <c r="AA47" s="44"/>
      <c r="AB47" s="44"/>
    </row>
    <row r="48" spans="1:28" s="34" customFormat="1" ht="98" hidden="1">
      <c r="A48" s="43">
        <v>3</v>
      </c>
      <c r="B48" s="43" t="str">
        <f t="shared" ref="B48:G48" si="6">B26</f>
        <v>成都国铁电气设备有限公司</v>
      </c>
      <c r="C48" s="43" t="str">
        <f t="shared" si="6"/>
        <v>成都市市场监督管理局</v>
      </c>
      <c r="D48" s="43" t="str">
        <f t="shared" si="6"/>
        <v>91510122582616699R</v>
      </c>
      <c r="E48" s="43" t="str">
        <f t="shared" si="6"/>
        <v>其他有限责任公司</v>
      </c>
      <c r="F48" s="43" t="str">
        <f t="shared" si="6"/>
        <v>国家税务总局成都市双流区税务局</v>
      </c>
      <c r="G48" s="43" t="str">
        <f t="shared" si="6"/>
        <v>收款账号：125289305384
开户行：中行双流支行</v>
      </c>
      <c r="H48" s="43" t="s">
        <v>65</v>
      </c>
      <c r="I48" s="43" t="s">
        <v>57</v>
      </c>
      <c r="J48" s="43" t="s">
        <v>66</v>
      </c>
      <c r="K48" s="43"/>
      <c r="L48" s="43"/>
      <c r="M48" s="49"/>
      <c r="N48" s="50"/>
      <c r="O48" s="50"/>
      <c r="P48" s="43"/>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53"/>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53"/>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53"/>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53"/>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53"/>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53"/>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53"/>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53"/>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53"/>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53"/>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53"/>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53"/>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53"/>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53"/>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53"/>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53"/>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53"/>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53"/>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53"/>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53"/>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53"/>
      <c r="Q69" s="58"/>
      <c r="R69" s="44"/>
      <c r="S69" s="53"/>
      <c r="T69" s="58"/>
      <c r="U69" s="58"/>
      <c r="V69" s="44"/>
      <c r="W69" s="44"/>
      <c r="X69" s="44"/>
      <c r="Y69" s="44"/>
      <c r="Z69" s="44"/>
      <c r="AA69" s="44"/>
      <c r="AB69" s="44"/>
    </row>
    <row r="70" spans="1:28" s="34" customFormat="1" ht="98" hidden="1">
      <c r="A70" s="43">
        <v>4</v>
      </c>
      <c r="B70" s="43" t="str">
        <f t="shared" ref="B70:G70" si="7">B48</f>
        <v>成都国铁电气设备有限公司</v>
      </c>
      <c r="C70" s="43" t="str">
        <f t="shared" si="7"/>
        <v>成都市市场监督管理局</v>
      </c>
      <c r="D70" s="43" t="str">
        <f t="shared" si="7"/>
        <v>91510122582616699R</v>
      </c>
      <c r="E70" s="43" t="str">
        <f t="shared" si="7"/>
        <v>其他有限责任公司</v>
      </c>
      <c r="F70" s="43" t="str">
        <f t="shared" si="7"/>
        <v>国家税务总局成都市双流区税务局</v>
      </c>
      <c r="G70" s="43" t="str">
        <f t="shared" si="7"/>
        <v>收款账号：125289305384
开户行：中行双流支行</v>
      </c>
      <c r="H70" s="43"/>
      <c r="I70" s="43"/>
      <c r="J70" s="43"/>
      <c r="K70" s="43"/>
      <c r="L70" s="43"/>
      <c r="M70" s="49"/>
      <c r="N70" s="50"/>
      <c r="O70" s="50"/>
      <c r="P70" s="43"/>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53"/>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53"/>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53"/>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53"/>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53"/>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53"/>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53"/>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53"/>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53"/>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53"/>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53"/>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53"/>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53"/>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53"/>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53"/>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53"/>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53"/>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53"/>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53"/>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53"/>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53"/>
      <c r="Q91" s="58"/>
      <c r="R91" s="44"/>
      <c r="S91" s="53"/>
      <c r="T91" s="58"/>
      <c r="U91" s="58"/>
      <c r="V91" s="44"/>
      <c r="W91" s="44"/>
      <c r="X91" s="44"/>
      <c r="Y91" s="44"/>
      <c r="Z91" s="44"/>
      <c r="AA91" s="44"/>
      <c r="AB91" s="44"/>
    </row>
    <row r="92" spans="1:28" s="34" customFormat="1" ht="98" hidden="1">
      <c r="A92" s="43">
        <v>5</v>
      </c>
      <c r="B92" s="43" t="str">
        <f t="shared" ref="B92:G92" si="8">B70</f>
        <v>成都国铁电气设备有限公司</v>
      </c>
      <c r="C92" s="43" t="str">
        <f t="shared" si="8"/>
        <v>成都市市场监督管理局</v>
      </c>
      <c r="D92" s="43" t="str">
        <f t="shared" si="8"/>
        <v>91510122582616699R</v>
      </c>
      <c r="E92" s="43" t="str">
        <f t="shared" si="8"/>
        <v>其他有限责任公司</v>
      </c>
      <c r="F92" s="43" t="str">
        <f t="shared" si="8"/>
        <v>国家税务总局成都市双流区税务局</v>
      </c>
      <c r="G92" s="43" t="str">
        <f t="shared" si="8"/>
        <v>收款账号：125289305384
开户行：中行双流支行</v>
      </c>
      <c r="H92" s="43"/>
      <c r="I92" s="43"/>
      <c r="J92" s="43"/>
      <c r="K92" s="43"/>
      <c r="L92" s="43"/>
      <c r="M92" s="49"/>
      <c r="N92" s="50"/>
      <c r="O92" s="50"/>
      <c r="P92" s="43"/>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53"/>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53"/>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53"/>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53"/>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53"/>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53"/>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53"/>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53"/>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53"/>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53"/>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53"/>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53"/>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53"/>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53"/>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53"/>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53"/>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53"/>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53"/>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53"/>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53"/>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53"/>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3000</v>
      </c>
      <c r="L114" s="43"/>
      <c r="M114" s="49"/>
      <c r="N114" s="50"/>
      <c r="O114" s="50"/>
      <c r="P114" s="43"/>
      <c r="Q114" s="43"/>
      <c r="R114" s="43">
        <f>R92+R70+R48+R26++R4</f>
        <v>60</v>
      </c>
      <c r="S114" s="43"/>
      <c r="T114" s="43"/>
      <c r="U114" s="43"/>
      <c r="V114" s="43"/>
      <c r="W114" s="43"/>
      <c r="X114" s="43"/>
      <c r="Y114" s="43">
        <f>Y92+Y70+Y48+Y26++Y4</f>
        <v>59.6</v>
      </c>
      <c r="Z114" s="43"/>
      <c r="AA114" s="43"/>
      <c r="AB114" s="43"/>
    </row>
    <row r="115" spans="1:28">
      <c r="I115" s="36" t="s">
        <v>49</v>
      </c>
      <c r="K115" s="36">
        <f>IF(K114&gt;3000,K116,K114)</f>
        <v>3000</v>
      </c>
    </row>
    <row r="116" spans="1:28">
      <c r="K116" s="36" t="s">
        <v>50</v>
      </c>
    </row>
  </sheetData>
  <autoFilter ref="A3:AD17" xr:uid="{00000000-0009-0000-0000-0000D1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AD116"/>
  <sheetViews>
    <sheetView topLeftCell="C1" zoomScale="60" zoomScaleNormal="60" workbookViewId="0">
      <pane ySplit="3" topLeftCell="A26" activePane="bottomLeft" state="frozen"/>
      <selection pane="bottomLeft" activeCell="N48" sqref="N48:AB48"/>
    </sheetView>
  </sheetViews>
  <sheetFormatPr defaultColWidth="9" defaultRowHeight="14"/>
  <cols>
    <col min="7" max="7" width="9" hidden="1" customWidth="1"/>
    <col min="13" max="13" width="9" style="3"/>
    <col min="14" max="15" width="10.75" style="4" customWidth="1"/>
    <col min="16" max="16" width="12.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成都市祺隆中药饮片有限公司审计明细表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658</v>
      </c>
      <c r="C4" s="9" t="s">
        <v>1711</v>
      </c>
      <c r="D4" s="9" t="s">
        <v>1712</v>
      </c>
      <c r="E4" s="9" t="s">
        <v>34</v>
      </c>
      <c r="F4" s="9" t="s">
        <v>1713</v>
      </c>
      <c r="G4" s="9" t="s">
        <v>1714</v>
      </c>
      <c r="H4" s="9" t="s">
        <v>37</v>
      </c>
      <c r="I4" s="9" t="s">
        <v>1715</v>
      </c>
      <c r="J4" s="9" t="s">
        <v>1716</v>
      </c>
      <c r="K4" s="9">
        <v>100</v>
      </c>
      <c r="L4" s="9" t="s">
        <v>1717</v>
      </c>
      <c r="M4" s="20" t="s">
        <v>1718</v>
      </c>
      <c r="N4" s="16">
        <v>44901</v>
      </c>
      <c r="O4" s="16">
        <v>45077</v>
      </c>
      <c r="P4" s="9">
        <f>P11-N4</f>
        <v>176</v>
      </c>
      <c r="Q4" s="22">
        <f>SUM(Q5:Q25)</f>
        <v>1.8</v>
      </c>
      <c r="R4" s="22">
        <v>1</v>
      </c>
      <c r="S4" s="9"/>
      <c r="T4" s="22">
        <f>SUM(T5:T25)</f>
        <v>1.71</v>
      </c>
      <c r="U4" s="23">
        <v>3.5200000000000002E-2</v>
      </c>
      <c r="V4" s="16"/>
      <c r="W4" s="9" t="s">
        <v>42</v>
      </c>
      <c r="X4" s="24">
        <v>0.01</v>
      </c>
      <c r="Y4" s="9">
        <f>ROUNDDOWN(IF((O4-N4+1)*K4*X4/365&gt;R4,R4,(O4-N4+1)*K4*X4/365),2)</f>
        <v>0.48</v>
      </c>
      <c r="Z4" s="22">
        <f>R4-Y4</f>
        <v>0.52</v>
      </c>
      <c r="AA4" s="33" t="s">
        <v>1719</v>
      </c>
      <c r="AB4" s="9" t="s">
        <v>61</v>
      </c>
      <c r="AD4" s="28">
        <f>(O4-N4+1)*K4*X4/365</f>
        <v>0.4849</v>
      </c>
    </row>
    <row r="5" spans="1:30" s="2" customFormat="1" ht="28">
      <c r="A5" s="10"/>
      <c r="B5" s="10"/>
      <c r="C5" s="10"/>
      <c r="D5" s="10"/>
      <c r="E5" s="10"/>
      <c r="F5" s="10"/>
      <c r="G5" s="10"/>
      <c r="H5" s="10"/>
      <c r="I5" s="10"/>
      <c r="J5" s="10"/>
      <c r="K5" s="10"/>
      <c r="L5" s="10"/>
      <c r="M5" s="32" t="s">
        <v>45</v>
      </c>
      <c r="N5" s="18"/>
      <c r="O5" s="18"/>
      <c r="P5" s="18">
        <v>44916</v>
      </c>
      <c r="Q5" s="25">
        <v>0.15</v>
      </c>
      <c r="R5" s="10"/>
      <c r="S5" s="19">
        <f>P5</f>
        <v>44916</v>
      </c>
      <c r="T5" s="25">
        <f>(S5-N4)/360*$U$4*$K$4</f>
        <v>0.15</v>
      </c>
      <c r="U5" s="25">
        <f>T5-Q5</f>
        <v>0</v>
      </c>
      <c r="V5" s="18"/>
      <c r="W5" s="10"/>
      <c r="X5" s="10"/>
      <c r="Y5" s="10"/>
      <c r="Z5" s="10"/>
      <c r="AA5" s="10"/>
      <c r="AB5" s="10"/>
    </row>
    <row r="6" spans="1:30" s="2" customFormat="1">
      <c r="A6" s="10"/>
      <c r="B6" s="10"/>
      <c r="C6" s="10"/>
      <c r="D6" s="10"/>
      <c r="E6" s="10"/>
      <c r="F6" s="10"/>
      <c r="G6" s="10"/>
      <c r="H6" s="10"/>
      <c r="I6" s="10"/>
      <c r="J6" s="10"/>
      <c r="K6" s="10"/>
      <c r="L6" s="10"/>
      <c r="M6" s="17"/>
      <c r="N6" s="18"/>
      <c r="O6" s="18"/>
      <c r="P6" s="18">
        <v>44947</v>
      </c>
      <c r="Q6" s="25">
        <v>0.32</v>
      </c>
      <c r="R6" s="10"/>
      <c r="S6" s="19">
        <f t="shared" ref="S6:S11" si="0">P6</f>
        <v>44947</v>
      </c>
      <c r="T6" s="25">
        <f>(S6-S5)*$K$4*$U$4/360</f>
        <v>0.3</v>
      </c>
      <c r="U6" s="25">
        <f>T6-Q6</f>
        <v>-0.02</v>
      </c>
      <c r="V6" s="10"/>
      <c r="W6" s="10"/>
      <c r="X6" s="10"/>
      <c r="Y6" s="10"/>
      <c r="Z6" s="10"/>
      <c r="AA6" s="10"/>
      <c r="AB6" s="10"/>
    </row>
    <row r="7" spans="1:30" s="2" customFormat="1">
      <c r="A7" s="10"/>
      <c r="B7" s="10"/>
      <c r="C7" s="10"/>
      <c r="D7" s="10"/>
      <c r="E7" s="10"/>
      <c r="F7" s="10"/>
      <c r="G7" s="10"/>
      <c r="H7" s="10"/>
      <c r="I7" s="10"/>
      <c r="J7" s="10"/>
      <c r="K7" s="10"/>
      <c r="L7" s="10"/>
      <c r="M7" s="17"/>
      <c r="N7" s="18"/>
      <c r="O7" s="18"/>
      <c r="P7" s="18">
        <v>44978</v>
      </c>
      <c r="Q7" s="25">
        <v>0.32</v>
      </c>
      <c r="R7" s="10"/>
      <c r="S7" s="19">
        <f t="shared" si="0"/>
        <v>44978</v>
      </c>
      <c r="T7" s="25">
        <f t="shared" ref="T7:T11" si="1">(S7-S6)*$K$4*$U$4/360</f>
        <v>0.3</v>
      </c>
      <c r="U7" s="25">
        <f t="shared" ref="U7:U11" si="2">T7-Q7</f>
        <v>-0.02</v>
      </c>
      <c r="V7" s="10"/>
      <c r="W7" s="10"/>
      <c r="X7" s="10"/>
      <c r="Y7" s="10"/>
      <c r="Z7" s="10"/>
      <c r="AA7" s="10"/>
      <c r="AB7" s="10"/>
    </row>
    <row r="8" spans="1:30" s="2" customFormat="1">
      <c r="A8" s="10"/>
      <c r="B8" s="10"/>
      <c r="C8" s="10"/>
      <c r="D8" s="10"/>
      <c r="E8" s="10"/>
      <c r="F8" s="10"/>
      <c r="G8" s="10"/>
      <c r="H8" s="10"/>
      <c r="I8" s="10"/>
      <c r="J8" s="10"/>
      <c r="K8" s="10"/>
      <c r="L8" s="10"/>
      <c r="M8" s="17"/>
      <c r="N8" s="18"/>
      <c r="O8" s="18"/>
      <c r="P8" s="18">
        <v>45006</v>
      </c>
      <c r="Q8" s="25">
        <v>0.28000000000000003</v>
      </c>
      <c r="R8" s="10"/>
      <c r="S8" s="19">
        <f t="shared" si="0"/>
        <v>45006</v>
      </c>
      <c r="T8" s="25">
        <f t="shared" si="1"/>
        <v>0.27</v>
      </c>
      <c r="U8" s="25">
        <f t="shared" si="2"/>
        <v>-0.01</v>
      </c>
      <c r="V8" s="10"/>
      <c r="W8" s="10"/>
      <c r="X8" s="10"/>
      <c r="Y8" s="10"/>
      <c r="Z8" s="10"/>
      <c r="AA8" s="10"/>
      <c r="AB8" s="10"/>
    </row>
    <row r="9" spans="1:30" s="2" customFormat="1">
      <c r="A9" s="10"/>
      <c r="B9" s="10"/>
      <c r="C9" s="10"/>
      <c r="D9" s="10"/>
      <c r="E9" s="10"/>
      <c r="F9" s="10"/>
      <c r="G9" s="10"/>
      <c r="H9" s="10"/>
      <c r="I9" s="10"/>
      <c r="J9" s="10"/>
      <c r="K9" s="10"/>
      <c r="L9" s="10"/>
      <c r="M9" s="17"/>
      <c r="N9" s="18"/>
      <c r="O9" s="18"/>
      <c r="P9" s="18">
        <v>45037</v>
      </c>
      <c r="Q9" s="25">
        <v>0.32</v>
      </c>
      <c r="R9" s="10"/>
      <c r="S9" s="19">
        <f t="shared" si="0"/>
        <v>45037</v>
      </c>
      <c r="T9" s="25">
        <f t="shared" si="1"/>
        <v>0.3</v>
      </c>
      <c r="U9" s="25">
        <f t="shared" si="2"/>
        <v>-0.02</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8">
        <v>45067</v>
      </c>
      <c r="Q10" s="25">
        <v>0.31</v>
      </c>
      <c r="R10" s="10"/>
      <c r="S10" s="19">
        <f t="shared" si="0"/>
        <v>45067</v>
      </c>
      <c r="T10" s="25">
        <f t="shared" si="1"/>
        <v>0.28999999999999998</v>
      </c>
      <c r="U10" s="25">
        <f t="shared" si="2"/>
        <v>-0.02</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8">
        <v>45077</v>
      </c>
      <c r="Q11" s="25">
        <v>0.1</v>
      </c>
      <c r="R11" s="10"/>
      <c r="S11" s="19">
        <f t="shared" si="0"/>
        <v>45077</v>
      </c>
      <c r="T11" s="25">
        <f t="shared" si="1"/>
        <v>0.1</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8"/>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8"/>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8"/>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8"/>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84">
      <c r="A26" s="9">
        <v>2</v>
      </c>
      <c r="B26" s="9" t="str">
        <f>B4</f>
        <v>成都市祺隆中药饮片有限公司</v>
      </c>
      <c r="C26" s="9" t="str">
        <f t="shared" ref="C26:G26" si="3">C4</f>
        <v>彭州市市场监督管理局</v>
      </c>
      <c r="D26" s="9" t="str">
        <f t="shared" si="3"/>
        <v>91510182052531866F</v>
      </c>
      <c r="E26" s="9" t="str">
        <f t="shared" si="3"/>
        <v>私营企业</v>
      </c>
      <c r="F26" s="9" t="str">
        <f t="shared" si="3"/>
        <v>彭州市税务局</v>
      </c>
      <c r="G26" s="9" t="str">
        <f t="shared" si="3"/>
        <v>4402050519100064547(工行成都彭州朝阳南路支行)</v>
      </c>
      <c r="H26" s="9" t="s">
        <v>37</v>
      </c>
      <c r="I26" s="9" t="s">
        <v>1715</v>
      </c>
      <c r="J26" s="9" t="s">
        <v>1716</v>
      </c>
      <c r="K26" s="9">
        <v>100</v>
      </c>
      <c r="L26" s="9" t="s">
        <v>1720</v>
      </c>
      <c r="M26" s="20" t="s">
        <v>1721</v>
      </c>
      <c r="N26" s="16">
        <v>44903</v>
      </c>
      <c r="O26" s="16">
        <v>45078</v>
      </c>
      <c r="P26" s="9">
        <f>P33-N26</f>
        <v>175</v>
      </c>
      <c r="Q26" s="22">
        <f>SUM(Q27:Q47)</f>
        <v>1.8</v>
      </c>
      <c r="R26" s="9">
        <v>1</v>
      </c>
      <c r="S26" s="9"/>
      <c r="T26" s="9">
        <f>SUM(T27:T47)</f>
        <v>1.7</v>
      </c>
      <c r="U26" s="23">
        <v>3.5200000000000002E-2</v>
      </c>
      <c r="V26" s="16"/>
      <c r="W26" s="9" t="s">
        <v>42</v>
      </c>
      <c r="X26" s="24">
        <v>0.01</v>
      </c>
      <c r="Y26" s="9">
        <f>ROUNDDOWN(IF((O26-N26+1)*K26*X26/365&gt;R26,R26,(O26-N26+1)*K26*X26/365),2)</f>
        <v>0.48</v>
      </c>
      <c r="Z26" s="9">
        <f>R26-Y26</f>
        <v>0.52</v>
      </c>
      <c r="AA26" s="33" t="s">
        <v>1719</v>
      </c>
      <c r="AB26" s="9" t="s">
        <v>61</v>
      </c>
      <c r="AD26" s="1">
        <f>(O26-N26+1)*K26*X26/365</f>
        <v>0.48219178082191799</v>
      </c>
    </row>
    <row r="27" spans="1:30" s="2" customFormat="1" ht="28">
      <c r="A27" s="10"/>
      <c r="B27" s="10"/>
      <c r="C27" s="10"/>
      <c r="D27" s="10"/>
      <c r="E27" s="10"/>
      <c r="F27" s="10"/>
      <c r="G27" s="10"/>
      <c r="H27" s="10"/>
      <c r="I27" s="10"/>
      <c r="J27" s="10"/>
      <c r="K27" s="10"/>
      <c r="L27" s="10"/>
      <c r="M27" s="32" t="s">
        <v>45</v>
      </c>
      <c r="N27" s="18"/>
      <c r="O27" s="16"/>
      <c r="P27" s="19">
        <v>44916</v>
      </c>
      <c r="Q27" s="25">
        <v>0.13</v>
      </c>
      <c r="R27" s="10"/>
      <c r="S27" s="19">
        <f>P27</f>
        <v>44916</v>
      </c>
      <c r="T27" s="25">
        <f>(S27-N26)/360*$U$26*$K$26</f>
        <v>0.13</v>
      </c>
      <c r="U27" s="25">
        <f>T27-Q27</f>
        <v>0</v>
      </c>
      <c r="V27" s="18"/>
      <c r="W27" s="10"/>
      <c r="X27" s="10"/>
      <c r="Y27" s="29">
        <f>ROUNDUP((V27-N26)*K26*X26/365,2)</f>
        <v>-123.03</v>
      </c>
      <c r="Z27" s="10"/>
      <c r="AA27" s="10"/>
      <c r="AB27" s="10"/>
    </row>
    <row r="28" spans="1:30" s="2" customFormat="1">
      <c r="A28" s="10"/>
      <c r="B28" s="10"/>
      <c r="C28" s="10"/>
      <c r="D28" s="10"/>
      <c r="E28" s="10"/>
      <c r="F28" s="10"/>
      <c r="G28" s="10"/>
      <c r="H28" s="10"/>
      <c r="I28" s="10"/>
      <c r="J28" s="10"/>
      <c r="K28" s="10"/>
      <c r="L28" s="10"/>
      <c r="M28" s="17"/>
      <c r="N28" s="18"/>
      <c r="O28" s="18"/>
      <c r="P28" s="19">
        <v>44947</v>
      </c>
      <c r="Q28" s="25">
        <v>0.32</v>
      </c>
      <c r="R28" s="10"/>
      <c r="S28" s="19">
        <f t="shared" ref="S28:S33" si="4">P28</f>
        <v>44947</v>
      </c>
      <c r="T28" s="25">
        <f>(S28-S27)*$U$26*$K$26/360</f>
        <v>0.3</v>
      </c>
      <c r="U28" s="25">
        <f t="shared" ref="U28:U33" si="5">T28-Q28</f>
        <v>-0.02</v>
      </c>
      <c r="V28" s="10"/>
      <c r="W28" s="10"/>
      <c r="X28" s="10"/>
      <c r="Y28" s="29">
        <f>ROUNDUP((O26-V27+1)*(K26-W27)*X26/365,2)</f>
        <v>123.51</v>
      </c>
      <c r="Z28" s="10"/>
      <c r="AA28" s="10"/>
      <c r="AB28" s="10"/>
    </row>
    <row r="29" spans="1:30" s="2" customFormat="1">
      <c r="A29" s="10"/>
      <c r="B29" s="10"/>
      <c r="C29" s="10"/>
      <c r="D29" s="10"/>
      <c r="E29" s="10"/>
      <c r="F29" s="10"/>
      <c r="G29" s="10"/>
      <c r="H29" s="10"/>
      <c r="I29" s="10"/>
      <c r="J29" s="10"/>
      <c r="K29" s="10"/>
      <c r="L29" s="10"/>
      <c r="M29" s="17"/>
      <c r="N29" s="18"/>
      <c r="O29" s="18"/>
      <c r="P29" s="19">
        <v>44978</v>
      </c>
      <c r="Q29" s="25">
        <v>0.32</v>
      </c>
      <c r="R29" s="10"/>
      <c r="S29" s="19">
        <f t="shared" si="4"/>
        <v>44978</v>
      </c>
      <c r="T29" s="25">
        <f t="shared" ref="T29:T33" si="6">(S29-S28)*$U$26*$K$26/360</f>
        <v>0.3</v>
      </c>
      <c r="U29" s="25">
        <f t="shared" si="5"/>
        <v>-0.02</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45006</v>
      </c>
      <c r="Q30" s="25">
        <v>0.28999999999999998</v>
      </c>
      <c r="R30" s="10"/>
      <c r="S30" s="19">
        <f t="shared" si="4"/>
        <v>45006</v>
      </c>
      <c r="T30" s="25">
        <f t="shared" si="6"/>
        <v>0.27</v>
      </c>
      <c r="U30" s="25">
        <f t="shared" si="5"/>
        <v>-0.02</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45037</v>
      </c>
      <c r="Q31" s="25">
        <v>0.32</v>
      </c>
      <c r="R31" s="10"/>
      <c r="S31" s="19">
        <f t="shared" si="4"/>
        <v>45037</v>
      </c>
      <c r="T31" s="25">
        <f t="shared" si="6"/>
        <v>0.3</v>
      </c>
      <c r="U31" s="25">
        <f t="shared" si="5"/>
        <v>-0.02</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45067</v>
      </c>
      <c r="Q32" s="25">
        <v>0.31</v>
      </c>
      <c r="R32" s="10"/>
      <c r="S32" s="19">
        <f t="shared" si="4"/>
        <v>45067</v>
      </c>
      <c r="T32" s="25">
        <f t="shared" si="6"/>
        <v>0.28999999999999998</v>
      </c>
      <c r="U32" s="25">
        <f t="shared" si="5"/>
        <v>-0.02</v>
      </c>
      <c r="V32" s="10"/>
      <c r="W32" s="10"/>
      <c r="X32" s="10"/>
      <c r="Y32" s="10"/>
      <c r="Z32" s="10"/>
      <c r="AA32" s="10"/>
      <c r="AB32" s="10"/>
    </row>
    <row r="33" spans="1:30" s="2" customFormat="1">
      <c r="A33" s="10"/>
      <c r="B33" s="10"/>
      <c r="C33" s="10"/>
      <c r="D33" s="10"/>
      <c r="E33" s="10"/>
      <c r="F33" s="10"/>
      <c r="G33" s="10"/>
      <c r="H33" s="10"/>
      <c r="I33" s="10"/>
      <c r="J33" s="10"/>
      <c r="K33" s="10"/>
      <c r="L33" s="10"/>
      <c r="M33" s="17"/>
      <c r="N33" s="18"/>
      <c r="O33" s="18"/>
      <c r="P33" s="19">
        <v>45078</v>
      </c>
      <c r="Q33" s="25">
        <v>0.11</v>
      </c>
      <c r="R33" s="10"/>
      <c r="S33" s="19">
        <f t="shared" si="4"/>
        <v>45078</v>
      </c>
      <c r="T33" s="25">
        <f t="shared" si="6"/>
        <v>0.11</v>
      </c>
      <c r="U33" s="25">
        <f t="shared" si="5"/>
        <v>0</v>
      </c>
      <c r="V33" s="10"/>
      <c r="W33" s="10"/>
      <c r="X33" s="10"/>
      <c r="Y33" s="10"/>
      <c r="Z33" s="10"/>
      <c r="AA33" s="10"/>
      <c r="AB33" s="10"/>
    </row>
    <row r="34" spans="1:30"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30"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30"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30"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30"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30"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30"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30"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30"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30"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30"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30"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30"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30"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30" s="1" customFormat="1" ht="84">
      <c r="A48" s="9">
        <v>3</v>
      </c>
      <c r="B48" s="9" t="str">
        <f>B26</f>
        <v>成都市祺隆中药饮片有限公司</v>
      </c>
      <c r="C48" s="9" t="str">
        <f t="shared" ref="C48:G48" si="7">C26</f>
        <v>彭州市市场监督管理局</v>
      </c>
      <c r="D48" s="9" t="str">
        <f t="shared" si="7"/>
        <v>91510182052531866F</v>
      </c>
      <c r="E48" s="9" t="str">
        <f t="shared" si="7"/>
        <v>私营企业</v>
      </c>
      <c r="F48" s="9" t="str">
        <f t="shared" si="7"/>
        <v>彭州市税务局</v>
      </c>
      <c r="G48" s="9" t="str">
        <f t="shared" si="7"/>
        <v>4402050519100064547(工行成都彭州朝阳南路支行)</v>
      </c>
      <c r="H48" s="9" t="s">
        <v>37</v>
      </c>
      <c r="I48" s="9" t="s">
        <v>1715</v>
      </c>
      <c r="J48" s="9" t="s">
        <v>1716</v>
      </c>
      <c r="K48" s="9">
        <v>100</v>
      </c>
      <c r="L48" s="9" t="s">
        <v>1722</v>
      </c>
      <c r="M48" s="20" t="s">
        <v>1723</v>
      </c>
      <c r="N48" s="16">
        <v>44897</v>
      </c>
      <c r="O48" s="16">
        <v>45075</v>
      </c>
      <c r="P48" s="9">
        <f>P55-N48</f>
        <v>178</v>
      </c>
      <c r="Q48" s="22">
        <f>SUM(Q49:Q69)</f>
        <v>1.84</v>
      </c>
      <c r="R48" s="9">
        <v>1</v>
      </c>
      <c r="S48" s="9"/>
      <c r="T48" s="9">
        <f>SUM(T49:T69)</f>
        <v>1.73</v>
      </c>
      <c r="U48" s="23">
        <v>3.5200000000000002E-2</v>
      </c>
      <c r="V48" s="16"/>
      <c r="W48" s="9" t="s">
        <v>42</v>
      </c>
      <c r="X48" s="24">
        <v>0.01</v>
      </c>
      <c r="Y48" s="9">
        <f>ROUNDDOWN(IF((O48-N48+1)*K48*X48/365&gt;R48,R48,(O48-N48+1)*K48*X48/365),2)</f>
        <v>0.49</v>
      </c>
      <c r="Z48" s="30">
        <f>R48-Y48</f>
        <v>0.51</v>
      </c>
      <c r="AA48" s="33" t="s">
        <v>1719</v>
      </c>
      <c r="AB48" s="9" t="s">
        <v>61</v>
      </c>
      <c r="AD48" s="1">
        <f>(O48-N48+1)*K48*X48/365</f>
        <v>0.49041095890411002</v>
      </c>
    </row>
    <row r="49" spans="1:28" s="2" customFormat="1" ht="28">
      <c r="A49" s="10"/>
      <c r="B49" s="10"/>
      <c r="C49" s="10"/>
      <c r="D49" s="10"/>
      <c r="E49" s="10"/>
      <c r="F49" s="10"/>
      <c r="G49" s="10"/>
      <c r="H49" s="10"/>
      <c r="I49" s="10"/>
      <c r="J49" s="10"/>
      <c r="K49" s="10"/>
      <c r="L49" s="10"/>
      <c r="M49" s="32" t="s">
        <v>45</v>
      </c>
      <c r="N49" s="18"/>
      <c r="O49" s="18"/>
      <c r="P49" s="19">
        <v>44916</v>
      </c>
      <c r="Q49" s="25">
        <v>0.2</v>
      </c>
      <c r="R49" s="10"/>
      <c r="S49" s="19">
        <f>P49</f>
        <v>44916</v>
      </c>
      <c r="T49" s="25">
        <f>(S49-N48)/360*$U$48*$K$48</f>
        <v>0.19</v>
      </c>
      <c r="U49" s="25">
        <f>T49-Q49</f>
        <v>-0.01</v>
      </c>
      <c r="V49" s="18"/>
      <c r="W49" s="10"/>
      <c r="X49" s="10"/>
      <c r="Y49" s="10"/>
      <c r="Z49" s="10"/>
      <c r="AA49" s="10"/>
      <c r="AB49" s="10"/>
    </row>
    <row r="50" spans="1:28" s="2" customFormat="1">
      <c r="A50" s="10"/>
      <c r="B50" s="10"/>
      <c r="C50" s="10"/>
      <c r="D50" s="10"/>
      <c r="E50" s="10"/>
      <c r="F50" s="10"/>
      <c r="G50" s="10"/>
      <c r="H50" s="10"/>
      <c r="I50" s="10"/>
      <c r="J50" s="10"/>
      <c r="K50" s="10"/>
      <c r="L50" s="10"/>
      <c r="M50" s="17"/>
      <c r="N50" s="18"/>
      <c r="O50" s="18"/>
      <c r="P50" s="19">
        <v>44947</v>
      </c>
      <c r="Q50" s="25">
        <v>0.32</v>
      </c>
      <c r="R50" s="10"/>
      <c r="S50" s="19">
        <f t="shared" ref="S50:S55" si="8">P50</f>
        <v>44947</v>
      </c>
      <c r="T50" s="25">
        <f>(S50-S49)*$U$48*$K$48/360</f>
        <v>0.3</v>
      </c>
      <c r="U50" s="25">
        <f t="shared" ref="U50:U55" si="9">T50-Q50</f>
        <v>-0.02</v>
      </c>
      <c r="V50" s="10"/>
      <c r="W50" s="10"/>
      <c r="X50" s="10"/>
      <c r="Y50" s="10"/>
      <c r="Z50" s="10"/>
      <c r="AA50" s="10"/>
      <c r="AB50" s="10"/>
    </row>
    <row r="51" spans="1:28" s="2" customFormat="1">
      <c r="A51" s="10"/>
      <c r="B51" s="10"/>
      <c r="C51" s="10"/>
      <c r="D51" s="10"/>
      <c r="E51" s="10"/>
      <c r="F51" s="10"/>
      <c r="G51" s="10"/>
      <c r="H51" s="10"/>
      <c r="I51" s="10"/>
      <c r="J51" s="10"/>
      <c r="K51" s="10"/>
      <c r="L51" s="10"/>
      <c r="M51" s="17"/>
      <c r="N51" s="18"/>
      <c r="O51" s="18"/>
      <c r="P51" s="19">
        <v>44978</v>
      </c>
      <c r="Q51" s="25">
        <v>0.32</v>
      </c>
      <c r="R51" s="10"/>
      <c r="S51" s="19">
        <f t="shared" si="8"/>
        <v>44978</v>
      </c>
      <c r="T51" s="25">
        <f t="shared" ref="T51:T55" si="10">(S51-S50)*$U$48*$K$48/360</f>
        <v>0.3</v>
      </c>
      <c r="U51" s="25">
        <f t="shared" si="9"/>
        <v>-0.02</v>
      </c>
      <c r="V51" s="10"/>
      <c r="W51" s="10"/>
      <c r="X51" s="10"/>
      <c r="Y51" s="10"/>
      <c r="Z51" s="10"/>
      <c r="AA51" s="10"/>
      <c r="AB51" s="10"/>
    </row>
    <row r="52" spans="1:28" s="2" customFormat="1">
      <c r="A52" s="10"/>
      <c r="B52" s="10"/>
      <c r="C52" s="10"/>
      <c r="D52" s="10"/>
      <c r="E52" s="10"/>
      <c r="F52" s="10"/>
      <c r="G52" s="10"/>
      <c r="H52" s="10"/>
      <c r="I52" s="10"/>
      <c r="J52" s="10"/>
      <c r="K52" s="10"/>
      <c r="L52" s="10"/>
      <c r="M52" s="17"/>
      <c r="N52" s="18"/>
      <c r="O52" s="18"/>
      <c r="P52" s="19">
        <v>45006</v>
      </c>
      <c r="Q52" s="25">
        <v>0.28999999999999998</v>
      </c>
      <c r="R52" s="10"/>
      <c r="S52" s="19">
        <f t="shared" si="8"/>
        <v>45006</v>
      </c>
      <c r="T52" s="25">
        <f t="shared" si="10"/>
        <v>0.27</v>
      </c>
      <c r="U52" s="25">
        <f t="shared" si="9"/>
        <v>-0.02</v>
      </c>
      <c r="V52" s="10"/>
      <c r="W52" s="10"/>
      <c r="X52" s="10"/>
      <c r="Y52" s="10"/>
      <c r="Z52" s="10"/>
      <c r="AA52" s="10"/>
      <c r="AB52" s="10"/>
    </row>
    <row r="53" spans="1:28" s="2" customFormat="1">
      <c r="A53" s="10"/>
      <c r="B53" s="10"/>
      <c r="C53" s="10"/>
      <c r="D53" s="10"/>
      <c r="E53" s="10"/>
      <c r="F53" s="10"/>
      <c r="G53" s="10"/>
      <c r="H53" s="10"/>
      <c r="I53" s="10"/>
      <c r="J53" s="10"/>
      <c r="K53" s="10"/>
      <c r="L53" s="10"/>
      <c r="M53" s="17"/>
      <c r="N53" s="18"/>
      <c r="O53" s="18"/>
      <c r="P53" s="19">
        <v>45037</v>
      </c>
      <c r="Q53" s="25">
        <v>0.32</v>
      </c>
      <c r="R53" s="10"/>
      <c r="S53" s="19">
        <f t="shared" si="8"/>
        <v>45037</v>
      </c>
      <c r="T53" s="25">
        <f t="shared" si="10"/>
        <v>0.3</v>
      </c>
      <c r="U53" s="25">
        <f t="shared" si="9"/>
        <v>-0.02</v>
      </c>
      <c r="V53" s="10"/>
      <c r="W53" s="10"/>
      <c r="X53" s="10"/>
      <c r="Y53" s="10"/>
      <c r="Z53" s="10"/>
      <c r="AA53" s="10"/>
      <c r="AB53" s="10"/>
    </row>
    <row r="54" spans="1:28" s="2" customFormat="1">
      <c r="A54" s="10"/>
      <c r="B54" s="10"/>
      <c r="C54" s="10"/>
      <c r="D54" s="10"/>
      <c r="E54" s="10"/>
      <c r="F54" s="10"/>
      <c r="G54" s="10"/>
      <c r="H54" s="10"/>
      <c r="I54" s="10"/>
      <c r="J54" s="10"/>
      <c r="K54" s="10"/>
      <c r="L54" s="10"/>
      <c r="M54" s="17"/>
      <c r="N54" s="18"/>
      <c r="O54" s="18"/>
      <c r="P54" s="19">
        <v>45067</v>
      </c>
      <c r="Q54" s="25">
        <v>0.31</v>
      </c>
      <c r="R54" s="10"/>
      <c r="S54" s="19">
        <f t="shared" si="8"/>
        <v>45067</v>
      </c>
      <c r="T54" s="25">
        <f t="shared" si="10"/>
        <v>0.28999999999999998</v>
      </c>
      <c r="U54" s="25">
        <f t="shared" si="9"/>
        <v>-0.02</v>
      </c>
      <c r="V54" s="10"/>
      <c r="W54" s="10"/>
      <c r="X54" s="10"/>
      <c r="Y54" s="10"/>
      <c r="Z54" s="10"/>
      <c r="AA54" s="10"/>
      <c r="AB54" s="10"/>
    </row>
    <row r="55" spans="1:28" s="2" customFormat="1">
      <c r="A55" s="10"/>
      <c r="B55" s="10"/>
      <c r="C55" s="10"/>
      <c r="D55" s="10"/>
      <c r="E55" s="10"/>
      <c r="F55" s="10"/>
      <c r="G55" s="10"/>
      <c r="H55" s="10"/>
      <c r="I55" s="10"/>
      <c r="J55" s="10"/>
      <c r="K55" s="10"/>
      <c r="L55" s="10"/>
      <c r="M55" s="17"/>
      <c r="N55" s="18"/>
      <c r="O55" s="18"/>
      <c r="P55" s="19">
        <v>45075</v>
      </c>
      <c r="Q55" s="25">
        <v>0.08</v>
      </c>
      <c r="R55" s="10"/>
      <c r="S55" s="19">
        <f t="shared" si="8"/>
        <v>45075</v>
      </c>
      <c r="T55" s="25">
        <f t="shared" si="10"/>
        <v>0.08</v>
      </c>
      <c r="U55" s="25">
        <f t="shared" si="9"/>
        <v>0</v>
      </c>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30"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30"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30"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30"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30"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30" s="1" customFormat="1" ht="71.25" hidden="1" customHeight="1">
      <c r="A70" s="9">
        <v>4</v>
      </c>
      <c r="B70" s="9" t="str">
        <f>B48</f>
        <v>成都市祺隆中药饮片有限公司</v>
      </c>
      <c r="C70" s="9" t="str">
        <f t="shared" ref="C70:G70" si="11">C48</f>
        <v>彭州市市场监督管理局</v>
      </c>
      <c r="D70" s="9" t="str">
        <f t="shared" si="11"/>
        <v>91510182052531866F</v>
      </c>
      <c r="E70" s="9" t="str">
        <f t="shared" si="11"/>
        <v>私营企业</v>
      </c>
      <c r="F70" s="9" t="str">
        <f t="shared" si="11"/>
        <v>彭州市税务局</v>
      </c>
      <c r="G70" s="9" t="str">
        <f t="shared" si="11"/>
        <v>4402050519100064547(工行成都彭州朝阳南路支行)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c r="AD70" s="1">
        <f>(O70-N70+1)*K70*X70/365</f>
        <v>0</v>
      </c>
    </row>
    <row r="71" spans="1:30"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30"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30"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30"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30"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30"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30"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30"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30"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30"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成都市祺隆中药饮片有限公司</v>
      </c>
      <c r="C92" s="9" t="str">
        <f t="shared" ref="C92:G92" si="12">C70</f>
        <v>彭州市市场监督管理局</v>
      </c>
      <c r="D92" s="9" t="str">
        <f t="shared" si="12"/>
        <v>91510182052531866F</v>
      </c>
      <c r="E92" s="9" t="str">
        <f t="shared" si="12"/>
        <v>私营企业</v>
      </c>
      <c r="F92" s="9" t="str">
        <f t="shared" si="12"/>
        <v>彭州市税务局</v>
      </c>
      <c r="G92" s="9" t="str">
        <f t="shared" si="12"/>
        <v>4402050519100064547(工行成都彭州朝阳南路支行)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300</v>
      </c>
      <c r="L114" s="9"/>
      <c r="M114" s="20"/>
      <c r="N114" s="16"/>
      <c r="O114" s="16"/>
      <c r="P114" s="9"/>
      <c r="Q114" s="9"/>
      <c r="R114" s="9">
        <f>R92+R70+R48+R26++R4</f>
        <v>3</v>
      </c>
      <c r="S114" s="9"/>
      <c r="T114" s="9"/>
      <c r="U114" s="9"/>
      <c r="V114" s="9"/>
      <c r="W114" s="9"/>
      <c r="X114" s="9"/>
      <c r="Y114" s="9">
        <f>Y92+Y70+Y48+Y26++Y4</f>
        <v>1.45</v>
      </c>
      <c r="Z114" s="9"/>
      <c r="AA114" s="9"/>
      <c r="AB114" s="9"/>
    </row>
    <row r="115" spans="1:28">
      <c r="I115" t="s">
        <v>49</v>
      </c>
      <c r="K115">
        <f>IF(K114&gt;3000,K116,K114)</f>
        <v>300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D116"/>
  <sheetViews>
    <sheetView topLeftCell="G1" zoomScale="70" zoomScaleNormal="70" workbookViewId="0">
      <pane ySplit="3" topLeftCell="A4" activePane="bottomLeft" state="frozen"/>
      <selection pane="bottomLeft" activeCell="U119" sqref="U119"/>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成都宇亨智能科技有限公司审计明细表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681</v>
      </c>
      <c r="C4" s="9" t="s">
        <v>1724</v>
      </c>
      <c r="D4" s="9" t="s">
        <v>1725</v>
      </c>
      <c r="E4" s="9" t="s">
        <v>146</v>
      </c>
      <c r="F4" s="9" t="s">
        <v>1713</v>
      </c>
      <c r="G4" s="9" t="s">
        <v>1726</v>
      </c>
      <c r="H4" s="9" t="s">
        <v>71</v>
      </c>
      <c r="I4" s="9" t="s">
        <v>1727</v>
      </c>
      <c r="J4" s="9" t="s">
        <v>39</v>
      </c>
      <c r="K4" s="9">
        <v>1000</v>
      </c>
      <c r="L4" s="9" t="s">
        <v>1728</v>
      </c>
      <c r="M4" s="20" t="s">
        <v>1729</v>
      </c>
      <c r="N4" s="16">
        <v>45063</v>
      </c>
      <c r="O4" s="16">
        <v>45291</v>
      </c>
      <c r="P4" s="9">
        <f>P12-N4</f>
        <v>249</v>
      </c>
      <c r="Q4" s="22">
        <f>SUM(Q5:Q25)</f>
        <v>25.6</v>
      </c>
      <c r="R4" s="22">
        <v>9.3699999999999992</v>
      </c>
      <c r="S4" s="9"/>
      <c r="T4" s="22">
        <f>SUM(T5:T25)</f>
        <v>25.6</v>
      </c>
      <c r="U4" s="23">
        <v>3.6999999999999998E-2</v>
      </c>
      <c r="V4" s="16"/>
      <c r="W4" s="9" t="s">
        <v>42</v>
      </c>
      <c r="X4" s="24">
        <v>1.4999999999999999E-2</v>
      </c>
      <c r="Y4" s="9">
        <f>ROUNDDOWN(IF((O4-N4+1)*K4*X4/365&gt;R4,R4,(O4-N4+1)*K4*X4/365),2)</f>
        <v>9.3699999999999992</v>
      </c>
      <c r="Z4" s="22">
        <f>R4-Y4</f>
        <v>0</v>
      </c>
      <c r="AA4" s="22"/>
      <c r="AB4" s="9" t="s">
        <v>61</v>
      </c>
      <c r="AD4" s="28">
        <f>(O4-N4+1)*K4*X4/365</f>
        <v>9.4109999999999996</v>
      </c>
    </row>
    <row r="5" spans="1:30" s="2" customFormat="1">
      <c r="A5" s="10"/>
      <c r="B5" s="10"/>
      <c r="C5" s="10"/>
      <c r="D5" s="10"/>
      <c r="E5" s="10"/>
      <c r="F5" s="10"/>
      <c r="G5" s="10"/>
      <c r="H5" s="10"/>
      <c r="I5" s="10"/>
      <c r="J5" s="10"/>
      <c r="K5" s="10"/>
      <c r="L5" s="10"/>
      <c r="M5" s="17"/>
      <c r="N5" s="18"/>
      <c r="O5" s="16">
        <v>45427</v>
      </c>
      <c r="P5" s="18">
        <v>45098</v>
      </c>
      <c r="Q5" s="25">
        <v>3.6</v>
      </c>
      <c r="R5" s="10"/>
      <c r="S5" s="19">
        <f>P5</f>
        <v>45098</v>
      </c>
      <c r="T5" s="25">
        <f>(S5-N4)/360*$U$4*$K$4</f>
        <v>3.6</v>
      </c>
      <c r="U5" s="25">
        <f>T5-Q5</f>
        <v>0</v>
      </c>
      <c r="V5" s="18"/>
      <c r="W5" s="10"/>
      <c r="X5" s="10"/>
      <c r="Y5" s="10">
        <f>ROUNDDOWN((V5-N4)*K4*X4/365,2)</f>
        <v>-1851.9</v>
      </c>
      <c r="Z5" s="10"/>
      <c r="AA5" s="10"/>
      <c r="AB5" s="10"/>
    </row>
    <row r="6" spans="1:30" s="2" customFormat="1">
      <c r="A6" s="10"/>
      <c r="B6" s="10"/>
      <c r="C6" s="10"/>
      <c r="D6" s="10"/>
      <c r="E6" s="10"/>
      <c r="F6" s="10"/>
      <c r="G6" s="10"/>
      <c r="H6" s="10"/>
      <c r="I6" s="10"/>
      <c r="J6" s="10"/>
      <c r="K6" s="10"/>
      <c r="L6" s="10"/>
      <c r="M6" s="17"/>
      <c r="N6" s="18"/>
      <c r="O6" s="18"/>
      <c r="P6" s="18">
        <v>45128</v>
      </c>
      <c r="Q6" s="25">
        <v>3.08</v>
      </c>
      <c r="R6" s="10"/>
      <c r="S6" s="19">
        <f t="shared" ref="S6:S12" si="0">P6</f>
        <v>45128</v>
      </c>
      <c r="T6" s="25">
        <f>(S6-S5)*$K$4*$U$4/360</f>
        <v>3.08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8">
        <v>45159</v>
      </c>
      <c r="Q7" s="25">
        <v>3.19</v>
      </c>
      <c r="R7" s="10"/>
      <c r="S7" s="19">
        <f t="shared" si="0"/>
        <v>45159</v>
      </c>
      <c r="T7" s="25">
        <f t="shared" ref="T7:T12" si="1">(S7-S6)*$K$4*$U$4/360</f>
        <v>3.19</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8">
        <v>45190</v>
      </c>
      <c r="Q8" s="25">
        <v>3.19</v>
      </c>
      <c r="R8" s="10"/>
      <c r="S8" s="19">
        <f t="shared" si="0"/>
        <v>45190</v>
      </c>
      <c r="T8" s="25">
        <f t="shared" si="1"/>
        <v>3.19</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8">
        <v>45220</v>
      </c>
      <c r="Q9" s="25">
        <v>3.08</v>
      </c>
      <c r="R9" s="10"/>
      <c r="S9" s="19">
        <f t="shared" si="0"/>
        <v>45220</v>
      </c>
      <c r="T9" s="25">
        <f t="shared" si="1"/>
        <v>3.08</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8">
        <v>45251</v>
      </c>
      <c r="Q10" s="25">
        <v>3.19</v>
      </c>
      <c r="R10" s="10"/>
      <c r="S10" s="19">
        <f t="shared" si="0"/>
        <v>45251</v>
      </c>
      <c r="T10" s="25">
        <f t="shared" si="1"/>
        <v>3.19</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8">
        <v>45281</v>
      </c>
      <c r="Q11" s="25">
        <v>3.08</v>
      </c>
      <c r="R11" s="10"/>
      <c r="S11" s="19">
        <f t="shared" si="0"/>
        <v>45281</v>
      </c>
      <c r="T11" s="25">
        <f t="shared" si="1"/>
        <v>3.08</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8">
        <v>45312</v>
      </c>
      <c r="Q12" s="25">
        <v>3.19</v>
      </c>
      <c r="R12" s="10"/>
      <c r="S12" s="19">
        <f t="shared" si="0"/>
        <v>45312</v>
      </c>
      <c r="T12" s="25">
        <f t="shared" si="1"/>
        <v>3.19</v>
      </c>
      <c r="U12" s="25">
        <f t="shared" si="2"/>
        <v>0</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hidden="1">
      <c r="A26" s="9">
        <v>2</v>
      </c>
      <c r="B26" s="9" t="str">
        <f>B4</f>
        <v>成都宇亨智能科技有限公司</v>
      </c>
      <c r="C26" s="9" t="str">
        <f t="shared" ref="C26:G26" si="3">C4</f>
        <v>彭州市行政审批局</v>
      </c>
      <c r="D26" s="9" t="str">
        <f t="shared" si="3"/>
        <v>91510182MA62LA6A17</v>
      </c>
      <c r="E26" s="9" t="str">
        <f t="shared" si="3"/>
        <v>有限责任公司</v>
      </c>
      <c r="F26" s="9" t="str">
        <f t="shared" si="3"/>
        <v>彭州市税务局</v>
      </c>
      <c r="G26" s="9" t="str">
        <f t="shared" si="3"/>
        <v>交通银行彭州支行511609010018800016975</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成都宇亨智能科技有限公司</v>
      </c>
      <c r="C48" s="9" t="str">
        <f t="shared" ref="C48:G48" si="7">C26</f>
        <v>彭州市行政审批局</v>
      </c>
      <c r="D48" s="9" t="str">
        <f t="shared" si="7"/>
        <v>91510182MA62LA6A17</v>
      </c>
      <c r="E48" s="9" t="str">
        <f t="shared" si="7"/>
        <v>有限责任公司</v>
      </c>
      <c r="F48" s="9" t="str">
        <f t="shared" si="7"/>
        <v>彭州市税务局</v>
      </c>
      <c r="G48" s="9" t="str">
        <f t="shared" si="7"/>
        <v>交通银行彭州支行511609010018800016975</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成都宇亨智能科技有限公司</v>
      </c>
      <c r="C70" s="9" t="str">
        <f t="shared" ref="C70:G70" si="10">C48</f>
        <v>彭州市行政审批局</v>
      </c>
      <c r="D70" s="9" t="str">
        <f t="shared" si="10"/>
        <v>91510182MA62LA6A17</v>
      </c>
      <c r="E70" s="9" t="str">
        <f t="shared" si="10"/>
        <v>有限责任公司</v>
      </c>
      <c r="F70" s="9" t="str">
        <f t="shared" si="10"/>
        <v>彭州市税务局</v>
      </c>
      <c r="G70" s="9" t="str">
        <f t="shared" si="10"/>
        <v>交通银行彭州支行511609010018800016975</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成都宇亨智能科技有限公司</v>
      </c>
      <c r="C92" s="9" t="str">
        <f t="shared" ref="C92:G92" si="11">C70</f>
        <v>彭州市行政审批局</v>
      </c>
      <c r="D92" s="9" t="str">
        <f t="shared" si="11"/>
        <v>91510182MA62LA6A17</v>
      </c>
      <c r="E92" s="9" t="str">
        <f t="shared" si="11"/>
        <v>有限责任公司</v>
      </c>
      <c r="F92" s="9" t="str">
        <f t="shared" si="11"/>
        <v>彭州市税务局</v>
      </c>
      <c r="G92" s="9" t="str">
        <f t="shared" si="11"/>
        <v>交通银行彭州支行511609010018800016975</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9.3699999999999992</v>
      </c>
      <c r="S114" s="9"/>
      <c r="T114" s="9"/>
      <c r="U114" s="9"/>
      <c r="V114" s="9"/>
      <c r="W114" s="9"/>
      <c r="X114" s="9"/>
      <c r="Y114" s="9">
        <f>Y92+Y70+Y48+Y26++Y4</f>
        <v>9.3699999999999992</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D116"/>
  <sheetViews>
    <sheetView topLeftCell="K1" zoomScale="80" zoomScaleNormal="80" workbookViewId="0">
      <pane ySplit="3" topLeftCell="A4" activePane="bottomLeft" state="frozen"/>
      <selection pane="bottomLeft" activeCell="AA10" sqref="AA10"/>
    </sheetView>
  </sheetViews>
  <sheetFormatPr defaultColWidth="9" defaultRowHeight="14"/>
  <cols>
    <col min="4" max="4" width="11.25" customWidth="1"/>
    <col min="7" max="7" width="9" customWidth="1"/>
    <col min="13" max="13" width="9" style="3"/>
    <col min="14" max="15" width="10.75" style="4" customWidth="1"/>
    <col min="16" max="16" width="9.83203125" customWidth="1"/>
    <col min="19" max="19" width="9.83203125" customWidth="1"/>
    <col min="20" max="20" width="11.33203125" customWidth="1"/>
    <col min="22" max="22" width="11.5" customWidth="1"/>
    <col min="25" max="25" width="11.75" customWidth="1"/>
    <col min="29" max="29" width="9" hidden="1" customWidth="1"/>
    <col min="30" max="30" width="11.75" customWidth="1"/>
  </cols>
  <sheetData>
    <row r="1" spans="1:30" ht="25">
      <c r="B1" s="154" t="str">
        <f>B4&amp;AC1</f>
        <v>彭州太萌新材料有限公司审计明细表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36">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56">
      <c r="A4" s="9">
        <v>1</v>
      </c>
      <c r="B4" s="9" t="s">
        <v>691</v>
      </c>
      <c r="C4" s="9" t="s">
        <v>1724</v>
      </c>
      <c r="D4" s="20" t="s">
        <v>1730</v>
      </c>
      <c r="E4" s="9" t="s">
        <v>872</v>
      </c>
      <c r="F4" s="9" t="s">
        <v>1713</v>
      </c>
      <c r="G4" s="9" t="s">
        <v>1731</v>
      </c>
      <c r="H4" s="9" t="s">
        <v>156</v>
      </c>
      <c r="I4" s="9" t="s">
        <v>1727</v>
      </c>
      <c r="J4" s="9" t="s">
        <v>432</v>
      </c>
      <c r="K4" s="9">
        <v>3000</v>
      </c>
      <c r="L4" s="9" t="s">
        <v>1732</v>
      </c>
      <c r="M4" s="20" t="s">
        <v>1733</v>
      </c>
      <c r="N4" s="16">
        <v>44855</v>
      </c>
      <c r="O4" s="16">
        <v>45291</v>
      </c>
      <c r="P4" s="9">
        <f>P19-N4</f>
        <v>436</v>
      </c>
      <c r="Q4" s="22">
        <f>SUM(Q5:Q25)</f>
        <v>145.05000000000001</v>
      </c>
      <c r="R4" s="22">
        <v>71.84</v>
      </c>
      <c r="S4" s="9"/>
      <c r="T4" s="22">
        <f>SUM(T5:T25)</f>
        <v>145.30000000000001</v>
      </c>
      <c r="U4" s="23">
        <v>0.04</v>
      </c>
      <c r="V4" s="16"/>
      <c r="W4" s="9" t="s">
        <v>42</v>
      </c>
      <c r="X4" s="24">
        <v>0.02</v>
      </c>
      <c r="Y4" s="9">
        <f>ROUNDDOWN(IF((O4-N4+1)*K4*X4/365&gt;R4,R4,(O4-N4+1)*K4*X4/365),2)</f>
        <v>71.83</v>
      </c>
      <c r="Z4" s="22">
        <f>R4-Y4</f>
        <v>0.01</v>
      </c>
      <c r="AA4" s="22" t="s">
        <v>43</v>
      </c>
      <c r="AB4" s="9" t="s">
        <v>61</v>
      </c>
      <c r="AD4" s="28">
        <f>(O4-N4+1)*K4*X4/365</f>
        <v>71.835599999999999</v>
      </c>
    </row>
    <row r="5" spans="1:30" s="2" customFormat="1">
      <c r="A5" s="10"/>
      <c r="B5" s="10"/>
      <c r="C5" s="10"/>
      <c r="D5" s="10"/>
      <c r="E5" s="10"/>
      <c r="F5" s="10"/>
      <c r="G5" s="10"/>
      <c r="H5" s="10"/>
      <c r="I5" s="10"/>
      <c r="J5" s="10"/>
      <c r="K5" s="10"/>
      <c r="L5" s="10"/>
      <c r="M5" s="17"/>
      <c r="N5" s="18">
        <v>44855</v>
      </c>
      <c r="O5" s="16">
        <v>45946</v>
      </c>
      <c r="P5" s="19">
        <v>44886</v>
      </c>
      <c r="Q5" s="25">
        <v>10.33</v>
      </c>
      <c r="R5" s="10"/>
      <c r="S5" s="19">
        <f>P5</f>
        <v>44886</v>
      </c>
      <c r="T5" s="25">
        <f>(S5-N4)/360*$U$4*$K$4</f>
        <v>10.33</v>
      </c>
      <c r="U5" s="25">
        <f>T5-Q5</f>
        <v>0</v>
      </c>
      <c r="V5" s="18"/>
      <c r="W5" s="10"/>
      <c r="X5" s="10"/>
      <c r="Y5" s="10">
        <f>ROUNDDOWN((V5-N4)*K4*X4/365,2)</f>
        <v>-7373.42</v>
      </c>
      <c r="Z5" s="10"/>
      <c r="AA5" s="10"/>
      <c r="AB5" s="10"/>
    </row>
    <row r="6" spans="1:30" s="2" customFormat="1">
      <c r="A6" s="10"/>
      <c r="B6" s="10"/>
      <c r="C6" s="10"/>
      <c r="D6" s="10"/>
      <c r="E6" s="10"/>
      <c r="F6" s="10"/>
      <c r="G6" s="10"/>
      <c r="H6" s="10"/>
      <c r="I6" s="10"/>
      <c r="J6" s="10"/>
      <c r="K6" s="10"/>
      <c r="L6" s="10"/>
      <c r="M6" s="17"/>
      <c r="N6" s="18"/>
      <c r="O6" s="18"/>
      <c r="P6" s="19">
        <v>44916</v>
      </c>
      <c r="Q6" s="25">
        <v>10</v>
      </c>
      <c r="R6" s="10"/>
      <c r="S6" s="19">
        <f t="shared" ref="S6:S19" si="0">P6</f>
        <v>44916</v>
      </c>
      <c r="T6" s="25">
        <f>(S6-S5)*$K$4*$U$4/360</f>
        <v>10</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44947</v>
      </c>
      <c r="Q7" s="25">
        <v>10.33</v>
      </c>
      <c r="R7" s="10"/>
      <c r="S7" s="19">
        <f t="shared" si="0"/>
        <v>44947</v>
      </c>
      <c r="T7" s="25">
        <f t="shared" ref="T7:T19" si="1">(S7-S6)*$K$4*$U$4/360</f>
        <v>10.33</v>
      </c>
      <c r="U7" s="25">
        <f t="shared" ref="U7:U19" si="2">T7-Q7</f>
        <v>0</v>
      </c>
      <c r="V7" s="10"/>
      <c r="W7" s="10"/>
      <c r="X7" s="10"/>
      <c r="Y7" s="10"/>
      <c r="Z7" s="10"/>
      <c r="AA7" s="10"/>
      <c r="AB7" s="10"/>
      <c r="AD7" s="2">
        <v>71.83</v>
      </c>
    </row>
    <row r="8" spans="1:30" s="2" customFormat="1">
      <c r="A8" s="10"/>
      <c r="B8" s="10"/>
      <c r="C8" s="10"/>
      <c r="D8" s="10"/>
      <c r="E8" s="10"/>
      <c r="F8" s="10"/>
      <c r="G8" s="10"/>
      <c r="H8" s="10"/>
      <c r="I8" s="10"/>
      <c r="J8" s="10"/>
      <c r="K8" s="10"/>
      <c r="L8" s="10"/>
      <c r="M8" s="17"/>
      <c r="N8" s="18"/>
      <c r="O8" s="18"/>
      <c r="P8" s="19">
        <v>44978</v>
      </c>
      <c r="Q8" s="25">
        <v>10.33</v>
      </c>
      <c r="R8" s="10"/>
      <c r="S8" s="19">
        <f t="shared" si="0"/>
        <v>44978</v>
      </c>
      <c r="T8" s="25">
        <f t="shared" si="1"/>
        <v>10.33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45006</v>
      </c>
      <c r="Q9" s="25">
        <v>9.33</v>
      </c>
      <c r="R9" s="10"/>
      <c r="S9" s="19">
        <f t="shared" si="0"/>
        <v>45006</v>
      </c>
      <c r="T9" s="25">
        <f t="shared" si="1"/>
        <v>9.33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45037</v>
      </c>
      <c r="Q10" s="25">
        <v>10.33</v>
      </c>
      <c r="R10" s="10"/>
      <c r="S10" s="19">
        <f t="shared" si="0"/>
        <v>45037</v>
      </c>
      <c r="T10" s="25">
        <f t="shared" si="1"/>
        <v>10.33</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45067</v>
      </c>
      <c r="Q11" s="25">
        <v>10</v>
      </c>
      <c r="R11" s="10"/>
      <c r="S11" s="19">
        <f t="shared" si="0"/>
        <v>45067</v>
      </c>
      <c r="T11" s="25">
        <f t="shared" si="1"/>
        <v>10</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45098</v>
      </c>
      <c r="Q12" s="25">
        <v>10.33</v>
      </c>
      <c r="R12" s="10"/>
      <c r="S12" s="19">
        <f t="shared" si="0"/>
        <v>45098</v>
      </c>
      <c r="T12" s="25">
        <f t="shared" si="1"/>
        <v>10.33</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45128</v>
      </c>
      <c r="Q13" s="25">
        <v>10</v>
      </c>
      <c r="R13" s="10"/>
      <c r="S13" s="19">
        <f t="shared" si="0"/>
        <v>45128</v>
      </c>
      <c r="T13" s="25">
        <f t="shared" si="1"/>
        <v>10</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45159</v>
      </c>
      <c r="Q14" s="25">
        <v>10.33</v>
      </c>
      <c r="R14" s="10"/>
      <c r="S14" s="19">
        <f t="shared" si="0"/>
        <v>45159</v>
      </c>
      <c r="T14" s="25">
        <f t="shared" si="1"/>
        <v>10.33</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45190</v>
      </c>
      <c r="Q15" s="25">
        <v>10.33</v>
      </c>
      <c r="R15" s="10"/>
      <c r="S15" s="19">
        <f t="shared" si="0"/>
        <v>45190</v>
      </c>
      <c r="T15" s="25">
        <f t="shared" si="1"/>
        <v>10.33</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45220</v>
      </c>
      <c r="Q16" s="25">
        <v>10</v>
      </c>
      <c r="R16" s="10"/>
      <c r="S16" s="19">
        <f t="shared" si="0"/>
        <v>45220</v>
      </c>
      <c r="T16" s="25">
        <f t="shared" si="1"/>
        <v>10</v>
      </c>
      <c r="U16" s="25">
        <f t="shared" si="2"/>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45251</v>
      </c>
      <c r="Q17" s="25">
        <v>10.08</v>
      </c>
      <c r="R17" s="10"/>
      <c r="S17" s="19">
        <f t="shared" si="0"/>
        <v>45251</v>
      </c>
      <c r="T17" s="25">
        <f t="shared" si="1"/>
        <v>10.33</v>
      </c>
      <c r="U17" s="25">
        <f t="shared" si="2"/>
        <v>0.25</v>
      </c>
      <c r="V17" s="10"/>
      <c r="W17" s="10"/>
      <c r="X17" s="10"/>
      <c r="Y17" s="10"/>
      <c r="Z17" s="10"/>
      <c r="AA17" s="10"/>
      <c r="AB17" s="10"/>
    </row>
    <row r="18" spans="1:30" s="2" customFormat="1">
      <c r="A18" s="10"/>
      <c r="B18" s="10"/>
      <c r="C18" s="10"/>
      <c r="D18" s="10"/>
      <c r="E18" s="10"/>
      <c r="F18" s="10"/>
      <c r="G18" s="10"/>
      <c r="H18" s="10"/>
      <c r="I18" s="10"/>
      <c r="J18" s="10"/>
      <c r="K18" s="10"/>
      <c r="L18" s="10"/>
      <c r="M18" s="17"/>
      <c r="N18" s="18"/>
      <c r="O18" s="18"/>
      <c r="P18" s="19">
        <v>45281</v>
      </c>
      <c r="Q18" s="25">
        <v>9.75</v>
      </c>
      <c r="R18" s="10"/>
      <c r="S18" s="19">
        <f t="shared" si="0"/>
        <v>45281</v>
      </c>
      <c r="T18" s="25">
        <f t="shared" si="1"/>
        <v>10</v>
      </c>
      <c r="U18" s="25">
        <f t="shared" si="2"/>
        <v>0.25</v>
      </c>
      <c r="V18" s="10"/>
      <c r="W18" s="10"/>
      <c r="X18" s="10"/>
      <c r="Y18" s="10"/>
      <c r="Z18" s="10"/>
      <c r="AA18" s="10"/>
      <c r="AB18" s="10"/>
    </row>
    <row r="19" spans="1:30" s="2" customFormat="1">
      <c r="A19" s="10"/>
      <c r="B19" s="10"/>
      <c r="C19" s="10"/>
      <c r="D19" s="10"/>
      <c r="E19" s="10"/>
      <c r="F19" s="10"/>
      <c r="G19" s="10"/>
      <c r="H19" s="10"/>
      <c r="I19" s="10"/>
      <c r="J19" s="10"/>
      <c r="K19" s="10"/>
      <c r="L19" s="10"/>
      <c r="M19" s="17"/>
      <c r="N19" s="18"/>
      <c r="O19" s="18"/>
      <c r="P19" s="19">
        <v>45291</v>
      </c>
      <c r="Q19" s="25">
        <v>3.58</v>
      </c>
      <c r="R19" s="10"/>
      <c r="S19" s="19">
        <f t="shared" si="0"/>
        <v>45291</v>
      </c>
      <c r="T19" s="25">
        <f t="shared" si="1"/>
        <v>3.33</v>
      </c>
      <c r="U19" s="25">
        <f t="shared" si="2"/>
        <v>-0.25</v>
      </c>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56" hidden="1">
      <c r="A26" s="9">
        <v>2</v>
      </c>
      <c r="B26" s="9" t="str">
        <f>B4</f>
        <v>彭州太萌新材料有限公司</v>
      </c>
      <c r="C26" s="9" t="str">
        <f t="shared" ref="C26:G26" si="3">C4</f>
        <v>彭州市行政审批局</v>
      </c>
      <c r="D26" s="9" t="str">
        <f t="shared" si="3"/>
        <v>915101823959197078</v>
      </c>
      <c r="E26" s="9" t="str">
        <f t="shared" si="3"/>
        <v>中型企业</v>
      </c>
      <c r="F26" s="9" t="str">
        <f t="shared" si="3"/>
        <v>彭州市税务局</v>
      </c>
      <c r="G26" s="9" t="str">
        <f t="shared" si="3"/>
        <v>1001300000618029 成都银行彭州支行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56" hidden="1">
      <c r="A48" s="9">
        <v>3</v>
      </c>
      <c r="B48" s="9" t="str">
        <f>B26</f>
        <v>彭州太萌新材料有限公司</v>
      </c>
      <c r="C48" s="9" t="str">
        <f t="shared" ref="C48:G48" si="7">C26</f>
        <v>彭州市行政审批局</v>
      </c>
      <c r="D48" s="9" t="str">
        <f t="shared" si="7"/>
        <v>915101823959197078</v>
      </c>
      <c r="E48" s="9" t="str">
        <f t="shared" si="7"/>
        <v>中型企业</v>
      </c>
      <c r="F48" s="9" t="str">
        <f t="shared" si="7"/>
        <v>彭州市税务局</v>
      </c>
      <c r="G48" s="9" t="str">
        <f t="shared" si="7"/>
        <v>1001300000618029 成都银行彭州支行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56" hidden="1">
      <c r="A70" s="9">
        <v>4</v>
      </c>
      <c r="B70" s="9" t="str">
        <f>B48</f>
        <v>彭州太萌新材料有限公司</v>
      </c>
      <c r="C70" s="9" t="str">
        <f t="shared" ref="C70:G70" si="10">C48</f>
        <v>彭州市行政审批局</v>
      </c>
      <c r="D70" s="9" t="str">
        <f t="shared" si="10"/>
        <v>915101823959197078</v>
      </c>
      <c r="E70" s="9" t="str">
        <f t="shared" si="10"/>
        <v>中型企业</v>
      </c>
      <c r="F70" s="9" t="str">
        <f t="shared" si="10"/>
        <v>彭州市税务局</v>
      </c>
      <c r="G70" s="9" t="str">
        <f t="shared" si="10"/>
        <v>1001300000618029 成都银行彭州支行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56" hidden="1">
      <c r="A92" s="9">
        <v>5</v>
      </c>
      <c r="B92" s="9" t="str">
        <f>B70</f>
        <v>彭州太萌新材料有限公司</v>
      </c>
      <c r="C92" s="9" t="str">
        <f t="shared" ref="C92:G92" si="11">C70</f>
        <v>彭州市行政审批局</v>
      </c>
      <c r="D92" s="9" t="str">
        <f t="shared" si="11"/>
        <v>915101823959197078</v>
      </c>
      <c r="E92" s="9" t="str">
        <f t="shared" si="11"/>
        <v>中型企业</v>
      </c>
      <c r="F92" s="9" t="str">
        <f t="shared" si="11"/>
        <v>彭州市税务局</v>
      </c>
      <c r="G92" s="9" t="str">
        <f t="shared" si="11"/>
        <v>1001300000618029 成都银行彭州支行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3000</v>
      </c>
      <c r="L114" s="9"/>
      <c r="M114" s="20"/>
      <c r="N114" s="16"/>
      <c r="O114" s="16"/>
      <c r="P114" s="9"/>
      <c r="Q114" s="9"/>
      <c r="R114" s="9">
        <f>R92+R70+R48+R26++R4</f>
        <v>71.84</v>
      </c>
      <c r="S114" s="9"/>
      <c r="T114" s="9"/>
      <c r="U114" s="9"/>
      <c r="V114" s="9"/>
      <c r="W114" s="9"/>
      <c r="X114" s="9"/>
      <c r="Y114" s="9">
        <f>Y92+Y70+Y48+Y26++Y4</f>
        <v>71.83</v>
      </c>
      <c r="Z114" s="9"/>
      <c r="AA114" s="9"/>
      <c r="AB114" s="9"/>
    </row>
    <row r="115" spans="1:28">
      <c r="I115" t="s">
        <v>49</v>
      </c>
      <c r="K115">
        <f>IF(K114&gt;3000,K116,K114)</f>
        <v>3000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AD116"/>
  <sheetViews>
    <sheetView topLeftCell="F1" zoomScale="70" zoomScaleNormal="70" workbookViewId="0">
      <pane ySplit="3" topLeftCell="A4" activePane="bottomLeft" state="frozen"/>
      <selection pane="bottomLeft" activeCell="N4" sqref="N4:AB4"/>
    </sheetView>
  </sheetViews>
  <sheetFormatPr defaultColWidth="9" defaultRowHeight="14"/>
  <cols>
    <col min="7" max="7" width="9" hidden="1" customWidth="1"/>
    <col min="13" max="13" width="9" style="3"/>
    <col min="14" max="15" width="10.75" style="4" customWidth="1"/>
    <col min="16" max="16" width="9.83203125" customWidth="1"/>
    <col min="19" max="19" width="9.83203125" customWidth="1"/>
    <col min="22" max="22" width="11.5" customWidth="1"/>
    <col min="23" max="23" width="11.08203125" customWidth="1"/>
    <col min="25" max="25" width="11.75" customWidth="1"/>
    <col min="29" max="29" width="9" hidden="1" customWidth="1"/>
    <col min="30" max="30" width="11.75" customWidth="1"/>
  </cols>
  <sheetData>
    <row r="1" spans="1:30" ht="25">
      <c r="B1" s="154" t="str">
        <f>B4&amp;AC1</f>
        <v>四川岷江物流有限公司审计明细表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713</v>
      </c>
      <c r="C4" s="9" t="s">
        <v>1734</v>
      </c>
      <c r="D4" s="9" t="s">
        <v>1735</v>
      </c>
      <c r="E4" s="9" t="s">
        <v>1736</v>
      </c>
      <c r="F4" s="9" t="s">
        <v>1737</v>
      </c>
      <c r="G4" s="9" t="s">
        <v>1738</v>
      </c>
      <c r="H4" s="9" t="s">
        <v>71</v>
      </c>
      <c r="I4" s="9" t="s">
        <v>1739</v>
      </c>
      <c r="J4" s="9" t="s">
        <v>58</v>
      </c>
      <c r="K4" s="9">
        <v>1000</v>
      </c>
      <c r="L4" s="9" t="s">
        <v>1740</v>
      </c>
      <c r="M4" s="9" t="s">
        <v>1741</v>
      </c>
      <c r="N4" s="15">
        <v>44930</v>
      </c>
      <c r="O4" s="16">
        <v>45259</v>
      </c>
      <c r="P4" s="9">
        <f>P8-N4</f>
        <v>329</v>
      </c>
      <c r="Q4" s="22">
        <f>SUM(Q5:Q25)</f>
        <v>36.549999999999997</v>
      </c>
      <c r="R4" s="22">
        <v>13.52</v>
      </c>
      <c r="S4" s="9"/>
      <c r="T4" s="22">
        <f>SUM(T5:T25)</f>
        <v>36.549999999999997</v>
      </c>
      <c r="U4" s="23">
        <v>0.04</v>
      </c>
      <c r="V4" s="16"/>
      <c r="W4" s="9" t="s">
        <v>1742</v>
      </c>
      <c r="X4" s="24">
        <v>1.4999999999999999E-2</v>
      </c>
      <c r="Y4" s="9">
        <f>ROUNDDOWN(IF((O4-N4+1)*K4*X4/365&gt;R4,R4,(O4-N4+1)*K4*X4/365),2)</f>
        <v>13.52</v>
      </c>
      <c r="Z4" s="22">
        <f>R4-Y4</f>
        <v>0</v>
      </c>
      <c r="AA4" s="22"/>
      <c r="AB4" s="9" t="s">
        <v>61</v>
      </c>
      <c r="AD4" s="28">
        <f>(O4-N4+1)*K4*X4/365</f>
        <v>13.5616</v>
      </c>
    </row>
    <row r="5" spans="1:30" s="2" customFormat="1">
      <c r="A5" s="10"/>
      <c r="B5" s="10"/>
      <c r="C5" s="10"/>
      <c r="D5" s="10"/>
      <c r="E5" s="10"/>
      <c r="F5" s="10"/>
      <c r="G5" s="10"/>
      <c r="H5" s="10"/>
      <c r="I5" s="10"/>
      <c r="J5" s="10"/>
      <c r="K5" s="10"/>
      <c r="L5" s="10"/>
      <c r="M5" s="17"/>
      <c r="N5" s="18"/>
      <c r="O5" s="18"/>
      <c r="P5" s="18">
        <v>45006</v>
      </c>
      <c r="Q5" s="25">
        <v>8.44</v>
      </c>
      <c r="R5" s="10"/>
      <c r="S5" s="19">
        <f>P5</f>
        <v>45006</v>
      </c>
      <c r="T5" s="25">
        <f>(S5-N4)/360*$U$4*$K$4</f>
        <v>8.44</v>
      </c>
      <c r="U5" s="25">
        <f>T5-Q5</f>
        <v>0</v>
      </c>
      <c r="V5" s="18">
        <v>45259</v>
      </c>
      <c r="W5" s="18"/>
      <c r="X5" s="10">
        <v>1000</v>
      </c>
      <c r="Y5" s="10">
        <f>ROUNDDOWN((V5-N4)*K4*X4/365,2)</f>
        <v>13.52</v>
      </c>
      <c r="Z5" s="10"/>
      <c r="AA5" s="10"/>
      <c r="AB5" s="10"/>
    </row>
    <row r="6" spans="1:30" s="2" customFormat="1">
      <c r="A6" s="10"/>
      <c r="B6" s="10"/>
      <c r="C6" s="10"/>
      <c r="D6" s="10"/>
      <c r="E6" s="10"/>
      <c r="F6" s="10"/>
      <c r="G6" s="10"/>
      <c r="H6" s="10"/>
      <c r="I6" s="10"/>
      <c r="J6" s="10"/>
      <c r="K6" s="10"/>
      <c r="L6" s="10"/>
      <c r="M6" s="17"/>
      <c r="N6" s="18"/>
      <c r="O6" s="18"/>
      <c r="P6" s="18">
        <v>45098</v>
      </c>
      <c r="Q6" s="25">
        <v>10.220000000000001</v>
      </c>
      <c r="R6" s="10"/>
      <c r="S6" s="19">
        <f t="shared" ref="S6:S8" si="0">P6</f>
        <v>45098</v>
      </c>
      <c r="T6" s="25">
        <f>(S6-S5)*$K$4*$U$4/360</f>
        <v>10.220000000000001</v>
      </c>
      <c r="U6" s="25">
        <f>T6-Q6</f>
        <v>0</v>
      </c>
      <c r="V6" s="10"/>
      <c r="W6" s="10"/>
      <c r="X6" s="10"/>
      <c r="Y6" s="29"/>
      <c r="Z6" s="10"/>
      <c r="AA6" s="10"/>
      <c r="AB6" s="10"/>
    </row>
    <row r="7" spans="1:30" s="2" customFormat="1">
      <c r="A7" s="10"/>
      <c r="B7" s="10"/>
      <c r="C7" s="10"/>
      <c r="D7" s="10"/>
      <c r="E7" s="10"/>
      <c r="F7" s="10"/>
      <c r="G7" s="10"/>
      <c r="H7" s="10"/>
      <c r="I7" s="10"/>
      <c r="J7" s="10"/>
      <c r="K7" s="10"/>
      <c r="L7" s="10"/>
      <c r="M7" s="17"/>
      <c r="N7" s="18"/>
      <c r="O7" s="18"/>
      <c r="P7" s="18">
        <v>45190</v>
      </c>
      <c r="Q7" s="25">
        <v>10.220000000000001</v>
      </c>
      <c r="R7" s="10"/>
      <c r="S7" s="19">
        <f t="shared" si="0"/>
        <v>45190</v>
      </c>
      <c r="T7" s="25">
        <f t="shared" ref="T7:T8" si="1">(S7-S6)*$K$4*$U$4/360</f>
        <v>10.220000000000001</v>
      </c>
      <c r="U7" s="25">
        <f t="shared" ref="U7:U8"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45259</v>
      </c>
      <c r="Q8" s="25">
        <v>7.67</v>
      </c>
      <c r="R8" s="10"/>
      <c r="S8" s="19">
        <f t="shared" si="0"/>
        <v>45259</v>
      </c>
      <c r="T8" s="25">
        <f t="shared" si="1"/>
        <v>7.67</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98">
      <c r="A26" s="9">
        <v>2</v>
      </c>
      <c r="B26" s="9" t="str">
        <f>B4</f>
        <v>四川岷江物流有限公司</v>
      </c>
      <c r="C26" s="9" t="str">
        <f t="shared" ref="C26:G26" si="3">C4</f>
        <v>成都市青白江区行政审批和营商环境建设局</v>
      </c>
      <c r="D26" s="9" t="str">
        <f t="shared" si="3"/>
        <v>91510113069773845C</v>
      </c>
      <c r="E26" s="9" t="str">
        <f t="shared" si="3"/>
        <v>国营</v>
      </c>
      <c r="F26" s="9" t="str">
        <f t="shared" si="3"/>
        <v>青白江区税务局城厢税务所</v>
      </c>
      <c r="G26" s="9" t="str">
        <f t="shared" si="3"/>
        <v>511622013018800022220（交通银行成都青白江支行）</v>
      </c>
      <c r="H26" s="9" t="s">
        <v>71</v>
      </c>
      <c r="I26" s="9" t="s">
        <v>1739</v>
      </c>
      <c r="J26" s="9" t="s">
        <v>58</v>
      </c>
      <c r="K26" s="9">
        <v>1000</v>
      </c>
      <c r="L26" s="9" t="s">
        <v>1743</v>
      </c>
      <c r="M26" s="9" t="s">
        <v>1744</v>
      </c>
      <c r="N26" s="16">
        <v>45268</v>
      </c>
      <c r="O26" s="16">
        <v>45291</v>
      </c>
      <c r="P26" s="9">
        <f>P27-N26</f>
        <v>44</v>
      </c>
      <c r="Q26" s="22">
        <f>SUM(Q27:Q47)</f>
        <v>4.22</v>
      </c>
      <c r="R26" s="9">
        <v>0.98</v>
      </c>
      <c r="S26" s="9"/>
      <c r="T26" s="9">
        <f>SUM(T27:T47)</f>
        <v>4.22</v>
      </c>
      <c r="U26" s="23">
        <v>3.4500000000000003E-2</v>
      </c>
      <c r="V26" s="16"/>
      <c r="W26" s="9" t="s">
        <v>42</v>
      </c>
      <c r="X26" s="24">
        <v>1.4999999999999999E-2</v>
      </c>
      <c r="Y26" s="9">
        <f>ROUNDDOWN(IF((O26-N26+1)*K26*X26/365&gt;R26,R26,(O26-N26+1)*K26*X26/365),2)</f>
        <v>0.98</v>
      </c>
      <c r="Z26" s="9">
        <f>R26-Y26</f>
        <v>0</v>
      </c>
      <c r="AA26" s="9"/>
      <c r="AB26" s="9" t="s">
        <v>119</v>
      </c>
      <c r="AD26" s="1">
        <f>(O26-N26+1)*K26*X26/365</f>
        <v>0.98630136986301398</v>
      </c>
    </row>
    <row r="27" spans="1:30" s="2" customFormat="1">
      <c r="A27" s="10"/>
      <c r="B27" s="10"/>
      <c r="C27" s="10"/>
      <c r="D27" s="10"/>
      <c r="E27" s="10"/>
      <c r="F27" s="10"/>
      <c r="G27" s="10"/>
      <c r="H27" s="10"/>
      <c r="I27" s="10"/>
      <c r="J27" s="10"/>
      <c r="K27" s="10"/>
      <c r="L27" s="10"/>
      <c r="M27" s="17"/>
      <c r="N27" s="18"/>
      <c r="O27" s="16">
        <v>45633</v>
      </c>
      <c r="P27" s="19">
        <v>45312</v>
      </c>
      <c r="Q27" s="25">
        <v>4.22</v>
      </c>
      <c r="R27" s="10"/>
      <c r="S27" s="19">
        <f>P27</f>
        <v>45312</v>
      </c>
      <c r="T27" s="25">
        <f>(S27-N26)/360*$U$26*$K$26</f>
        <v>4.22</v>
      </c>
      <c r="U27" s="25">
        <f>T27-Q27</f>
        <v>0</v>
      </c>
      <c r="V27" s="18"/>
      <c r="W27" s="10"/>
      <c r="X27" s="10"/>
      <c r="Y27" s="29">
        <f>ROUNDUP((V27-N26)*K26*X26/365,2)</f>
        <v>-1860.33</v>
      </c>
      <c r="Z27" s="10"/>
      <c r="AA27" s="10"/>
      <c r="AB27" s="10"/>
    </row>
    <row r="28" spans="1:30" s="2" customFormat="1">
      <c r="A28" s="10"/>
      <c r="B28" s="10"/>
      <c r="C28" s="10"/>
      <c r="D28" s="10"/>
      <c r="E28" s="10"/>
      <c r="F28" s="10"/>
      <c r="G28" s="10"/>
      <c r="H28" s="10"/>
      <c r="I28" s="10"/>
      <c r="J28" s="10"/>
      <c r="K28" s="10"/>
      <c r="L28" s="10"/>
      <c r="M28" s="17"/>
      <c r="N28" s="18"/>
      <c r="O28" s="18"/>
      <c r="P28" s="19"/>
      <c r="Q28" s="25"/>
      <c r="R28" s="10"/>
      <c r="S28" s="19"/>
      <c r="T28" s="25"/>
      <c r="U28" s="25"/>
      <c r="V28" s="10"/>
      <c r="W28" s="10"/>
      <c r="X28" s="10"/>
      <c r="Y28" s="29">
        <f>ROUNDUP((O26-V27+1)*(K26-W27)*X26/365,2)</f>
        <v>1861.32</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c r="T30" s="25"/>
      <c r="U30" s="25"/>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c r="T31" s="25"/>
      <c r="U31" s="25"/>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四川岷江物流有限公司</v>
      </c>
      <c r="C48" s="9" t="str">
        <f t="shared" ref="C48:G48" si="4">C26</f>
        <v>成都市青白江区行政审批和营商环境建设局</v>
      </c>
      <c r="D48" s="9" t="str">
        <f t="shared" si="4"/>
        <v>91510113069773845C</v>
      </c>
      <c r="E48" s="9" t="str">
        <f t="shared" si="4"/>
        <v>国营</v>
      </c>
      <c r="F48" s="9" t="str">
        <f t="shared" si="4"/>
        <v>青白江区税务局城厢税务所</v>
      </c>
      <c r="G48" s="9" t="str">
        <f t="shared" si="4"/>
        <v>511622013018800022220（交通银行成都青白江支行）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5">P50</f>
        <v>0</v>
      </c>
      <c r="T50" s="25">
        <f>(S50-S49)*$U$48*$K$48/360</f>
        <v>0</v>
      </c>
      <c r="U50" s="25">
        <f t="shared" ref="U50" si="6">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四川岷江物流有限公司</v>
      </c>
      <c r="C70" s="9" t="str">
        <f t="shared" ref="C70:G70" si="7">C48</f>
        <v>成都市青白江区行政审批和营商环境建设局</v>
      </c>
      <c r="D70" s="9" t="str">
        <f t="shared" si="7"/>
        <v>91510113069773845C</v>
      </c>
      <c r="E70" s="9" t="str">
        <f t="shared" si="7"/>
        <v>国营</v>
      </c>
      <c r="F70" s="9" t="str">
        <f t="shared" si="7"/>
        <v>青白江区税务局城厢税务所</v>
      </c>
      <c r="G70" s="9" t="str">
        <f t="shared" si="7"/>
        <v>511622013018800022220（交通银行成都青白江支行）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四川岷江物流有限公司</v>
      </c>
      <c r="C92" s="9" t="str">
        <f t="shared" ref="C92:G92" si="8">C70</f>
        <v>成都市青白江区行政审批和营商环境建设局</v>
      </c>
      <c r="D92" s="9" t="str">
        <f t="shared" si="8"/>
        <v>91510113069773845C</v>
      </c>
      <c r="E92" s="9" t="str">
        <f t="shared" si="8"/>
        <v>国营</v>
      </c>
      <c r="F92" s="9" t="str">
        <f t="shared" si="8"/>
        <v>青白江区税务局城厢税务所</v>
      </c>
      <c r="G92" s="9" t="str">
        <f t="shared" si="8"/>
        <v>511622013018800022220（交通银行成都青白江支行）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14.5</v>
      </c>
      <c r="S114" s="9"/>
      <c r="T114" s="9"/>
      <c r="U114" s="9"/>
      <c r="V114" s="9"/>
      <c r="W114" s="9"/>
      <c r="X114" s="9"/>
      <c r="Y114" s="9">
        <f>Y92+Y70+Y48+Y26++Y4</f>
        <v>14.5</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16"/>
  <sheetViews>
    <sheetView topLeftCell="H1" zoomScale="70" zoomScaleNormal="70" workbookViewId="0">
      <pane ySplit="3" topLeftCell="A4" activePane="bottomLeft" state="frozen"/>
      <selection pane="bottomLeft" activeCell="N4" sqref="N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成都云智北斗科技有限公司审计明细表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9.5" customHeight="1">
      <c r="A4" s="9">
        <v>1</v>
      </c>
      <c r="B4" s="9" t="s">
        <v>244</v>
      </c>
      <c r="C4" s="9" t="s">
        <v>32</v>
      </c>
      <c r="D4" s="9" t="s">
        <v>245</v>
      </c>
      <c r="E4" s="9" t="s">
        <v>246</v>
      </c>
      <c r="F4" s="9" t="s">
        <v>35</v>
      </c>
      <c r="G4" s="9" t="s">
        <v>247</v>
      </c>
      <c r="H4" s="9" t="s">
        <v>37</v>
      </c>
      <c r="I4" s="9" t="s">
        <v>248</v>
      </c>
      <c r="J4" s="9" t="s">
        <v>58</v>
      </c>
      <c r="K4" s="9">
        <v>100</v>
      </c>
      <c r="L4" s="9" t="s">
        <v>249</v>
      </c>
      <c r="M4" s="20" t="s">
        <v>250</v>
      </c>
      <c r="N4" s="16">
        <v>45057</v>
      </c>
      <c r="O4" s="16">
        <v>45291</v>
      </c>
      <c r="P4" s="9">
        <f>P12-N4</f>
        <v>255</v>
      </c>
      <c r="Q4" s="22">
        <f>SUM(Q5:Q25)</f>
        <v>2.56</v>
      </c>
      <c r="R4" s="22">
        <v>0.64383599999999996</v>
      </c>
      <c r="S4" s="9"/>
      <c r="T4" s="22">
        <f>SUM(T5:T25)</f>
        <v>2.56</v>
      </c>
      <c r="U4" s="23">
        <v>3.6499999999999998E-2</v>
      </c>
      <c r="V4" s="16"/>
      <c r="W4" s="9" t="s">
        <v>42</v>
      </c>
      <c r="X4" s="24">
        <v>0.01</v>
      </c>
      <c r="Y4" s="9">
        <f>ROUNDDOWN(IF((O4-N4+1)*K4*X4/365&gt;R4,R4,(O4-N4+1)*K4*X4/365),2)</f>
        <v>0.64</v>
      </c>
      <c r="Z4" s="22">
        <f>R4-Y4</f>
        <v>0</v>
      </c>
      <c r="AA4" s="22"/>
      <c r="AB4" s="9" t="s">
        <v>61</v>
      </c>
      <c r="AD4" s="28">
        <f>(O4-N4+1)*K4*X4/365</f>
        <v>0.64380000000000004</v>
      </c>
    </row>
    <row r="5" spans="1:30" s="2" customFormat="1">
      <c r="A5" s="10"/>
      <c r="B5" s="10"/>
      <c r="C5" s="10"/>
      <c r="D5" s="10"/>
      <c r="E5" s="10"/>
      <c r="F5" s="10"/>
      <c r="G5" s="10"/>
      <c r="H5" s="10"/>
      <c r="I5" s="10"/>
      <c r="J5" s="10"/>
      <c r="K5" s="10"/>
      <c r="L5" s="10"/>
      <c r="M5" s="17"/>
      <c r="N5" s="18"/>
      <c r="O5" s="16">
        <v>45421</v>
      </c>
      <c r="P5" s="19">
        <v>45098</v>
      </c>
      <c r="Q5" s="25">
        <v>0.42</v>
      </c>
      <c r="R5" s="10"/>
      <c r="S5" s="19">
        <f>P5</f>
        <v>45098</v>
      </c>
      <c r="T5" s="25">
        <f>(S5-N4)/360*$U$4*$K$4</f>
        <v>0.42</v>
      </c>
      <c r="U5" s="25">
        <f>T5-Q5</f>
        <v>0</v>
      </c>
      <c r="V5" s="18"/>
      <c r="W5" s="10"/>
      <c r="X5" s="10"/>
      <c r="Y5" s="10">
        <f>ROUNDDOWN((V5-N4)*K4*X4/365,2)</f>
        <v>-123.44</v>
      </c>
      <c r="Z5" s="10"/>
      <c r="AA5" s="10"/>
      <c r="AB5" s="10"/>
    </row>
    <row r="6" spans="1:30" s="2" customFormat="1">
      <c r="A6" s="10"/>
      <c r="B6" s="10"/>
      <c r="C6" s="10"/>
      <c r="D6" s="10"/>
      <c r="E6" s="10"/>
      <c r="F6" s="10"/>
      <c r="G6" s="10"/>
      <c r="H6" s="10"/>
      <c r="I6" s="10"/>
      <c r="J6" s="10"/>
      <c r="K6" s="10"/>
      <c r="L6" s="10"/>
      <c r="M6" s="17"/>
      <c r="N6" s="18"/>
      <c r="O6" s="18"/>
      <c r="P6" s="19">
        <v>45128</v>
      </c>
      <c r="Q6" s="25">
        <v>0.3</v>
      </c>
      <c r="R6" s="10"/>
      <c r="S6" s="19">
        <f t="shared" ref="S6:S12" si="0">P6</f>
        <v>45128</v>
      </c>
      <c r="T6" s="25">
        <f>(S6-S5)*$K$4*$U$4/360</f>
        <v>0.3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45159</v>
      </c>
      <c r="Q7" s="25">
        <v>0.31</v>
      </c>
      <c r="R7" s="10"/>
      <c r="S7" s="19">
        <f t="shared" si="0"/>
        <v>45159</v>
      </c>
      <c r="T7" s="25">
        <f t="shared" ref="T7:T12" si="1">(S7-S6)*$K$4*$U$4/360</f>
        <v>0.31</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45190</v>
      </c>
      <c r="Q8" s="25">
        <v>0.31</v>
      </c>
      <c r="R8" s="10"/>
      <c r="S8" s="19">
        <f t="shared" si="0"/>
        <v>45190</v>
      </c>
      <c r="T8" s="25">
        <f t="shared" si="1"/>
        <v>0.31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45220</v>
      </c>
      <c r="Q9" s="25">
        <v>0.3</v>
      </c>
      <c r="R9" s="10"/>
      <c r="S9" s="19">
        <f t="shared" si="0"/>
        <v>45220</v>
      </c>
      <c r="T9" s="25">
        <f t="shared" si="1"/>
        <v>0.3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45251</v>
      </c>
      <c r="Q10" s="25">
        <v>0.31</v>
      </c>
      <c r="R10" s="10"/>
      <c r="S10" s="19">
        <f t="shared" si="0"/>
        <v>45251</v>
      </c>
      <c r="T10" s="25">
        <f t="shared" si="1"/>
        <v>0.31</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45281</v>
      </c>
      <c r="Q11" s="25">
        <v>0.3</v>
      </c>
      <c r="R11" s="10"/>
      <c r="S11" s="19">
        <f t="shared" si="0"/>
        <v>45281</v>
      </c>
      <c r="T11" s="25">
        <f t="shared" si="1"/>
        <v>0.3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45312</v>
      </c>
      <c r="Q12" s="25">
        <v>0.31</v>
      </c>
      <c r="R12" s="10"/>
      <c r="S12" s="19">
        <f t="shared" si="0"/>
        <v>45312</v>
      </c>
      <c r="T12" s="25">
        <f t="shared" si="1"/>
        <v>0.31</v>
      </c>
      <c r="U12" s="25">
        <f t="shared" si="2"/>
        <v>0</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成都云智北斗科技有限公司</v>
      </c>
      <c r="C26" s="9" t="str">
        <f t="shared" ref="C26:G26" si="3">C4</f>
        <v>成都高新技术产业开发区市场监督管理局</v>
      </c>
      <c r="D26" s="9" t="str">
        <f t="shared" si="3"/>
        <v>91510104MA641HUQ75</v>
      </c>
      <c r="E26" s="9" t="str">
        <f t="shared" si="3"/>
        <v>有限责任公司（自然人投资或控股）</v>
      </c>
      <c r="F26" s="9" t="str">
        <f t="shared" si="3"/>
        <v>国家税务总局成都高新技术产业开发区税务局</v>
      </c>
      <c r="G26" s="9" t="str">
        <f t="shared" si="3"/>
        <v>1001300000935932（行号：313651031011）</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成都云智北斗科技有限公司</v>
      </c>
      <c r="C48" s="9" t="str">
        <f t="shared" ref="C48:G48" si="7">C26</f>
        <v>成都高新技术产业开发区市场监督管理局</v>
      </c>
      <c r="D48" s="9" t="str">
        <f t="shared" si="7"/>
        <v>91510104MA641HUQ75</v>
      </c>
      <c r="E48" s="9" t="str">
        <f t="shared" si="7"/>
        <v>有限责任公司（自然人投资或控股）</v>
      </c>
      <c r="F48" s="9" t="str">
        <f t="shared" si="7"/>
        <v>国家税务总局成都高新技术产业开发区税务局</v>
      </c>
      <c r="G48" s="9" t="str">
        <f t="shared" si="7"/>
        <v>1001300000935932（行号：313651031011）</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成都云智北斗科技有限公司</v>
      </c>
      <c r="C70" s="9" t="str">
        <f t="shared" ref="C70:G70" si="10">C48</f>
        <v>成都高新技术产业开发区市场监督管理局</v>
      </c>
      <c r="D70" s="9" t="str">
        <f t="shared" si="10"/>
        <v>91510104MA641HUQ75</v>
      </c>
      <c r="E70" s="9" t="str">
        <f t="shared" si="10"/>
        <v>有限责任公司（自然人投资或控股）</v>
      </c>
      <c r="F70" s="9" t="str">
        <f t="shared" si="10"/>
        <v>国家税务总局成都高新技术产业开发区税务局</v>
      </c>
      <c r="G70" s="9" t="str">
        <f t="shared" si="10"/>
        <v>1001300000935932（行号：313651031011）</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成都云智北斗科技有限公司</v>
      </c>
      <c r="C92" s="9" t="str">
        <f t="shared" ref="C92:G92" si="11">C70</f>
        <v>成都高新技术产业开发区市场监督管理局</v>
      </c>
      <c r="D92" s="9" t="str">
        <f t="shared" si="11"/>
        <v>91510104MA641HUQ75</v>
      </c>
      <c r="E92" s="9" t="str">
        <f t="shared" si="11"/>
        <v>有限责任公司（自然人投资或控股）</v>
      </c>
      <c r="F92" s="9" t="str">
        <f t="shared" si="11"/>
        <v>国家税务总局成都高新技术产业开发区税务局</v>
      </c>
      <c r="G92" s="9" t="str">
        <f t="shared" si="11"/>
        <v>1001300000935932（行号：313651031011）</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v>
      </c>
      <c r="L114" s="9"/>
      <c r="M114" s="20"/>
      <c r="N114" s="16"/>
      <c r="O114" s="16"/>
      <c r="P114" s="9"/>
      <c r="Q114" s="9"/>
      <c r="R114" s="9">
        <f>R92+R70+R48+R26++R4</f>
        <v>0.64383599999999996</v>
      </c>
      <c r="S114" s="9"/>
      <c r="T114" s="9"/>
      <c r="U114" s="9"/>
      <c r="V114" s="9"/>
      <c r="W114" s="9"/>
      <c r="X114" s="9"/>
      <c r="Y114" s="9">
        <f>Y92+Y70+Y48+Y26++Y4</f>
        <v>0.64</v>
      </c>
      <c r="Z114" s="9"/>
      <c r="AA114" s="9"/>
      <c r="AB114" s="9"/>
    </row>
    <row r="115" spans="1:28">
      <c r="I115" t="s">
        <v>49</v>
      </c>
      <c r="K115">
        <f>IF(K114&gt;3000,K116,K114)</f>
        <v>100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四川省西点能源有限公司审计明细表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251</v>
      </c>
      <c r="C4" s="9" t="s">
        <v>32</v>
      </c>
      <c r="D4" s="9">
        <v>9.1510100350642701E+17</v>
      </c>
      <c r="E4" s="9" t="s">
        <v>146</v>
      </c>
      <c r="F4" s="9" t="s">
        <v>252</v>
      </c>
      <c r="G4" s="9" t="s">
        <v>253</v>
      </c>
      <c r="H4" s="9" t="s">
        <v>130</v>
      </c>
      <c r="I4" s="9" t="s">
        <v>80</v>
      </c>
      <c r="J4" s="9" t="s">
        <v>73</v>
      </c>
      <c r="K4" s="9">
        <v>400</v>
      </c>
      <c r="L4" s="9" t="s">
        <v>254</v>
      </c>
      <c r="M4" s="20" t="s">
        <v>255</v>
      </c>
      <c r="N4" s="16">
        <v>44923</v>
      </c>
      <c r="O4" s="16">
        <v>45279</v>
      </c>
      <c r="P4" s="9">
        <f>P16-N4</f>
        <v>356</v>
      </c>
      <c r="Q4" s="22">
        <f>SUM(Q5:Q25)</f>
        <v>15.82</v>
      </c>
      <c r="R4" s="22">
        <v>5.85</v>
      </c>
      <c r="S4" s="9"/>
      <c r="T4" s="22">
        <f>SUM(T5:T25)</f>
        <v>15.82</v>
      </c>
      <c r="U4" s="23">
        <v>0.04</v>
      </c>
      <c r="V4" s="16"/>
      <c r="W4" s="9" t="s">
        <v>42</v>
      </c>
      <c r="X4" s="24">
        <v>1.4999999999999999E-2</v>
      </c>
      <c r="Y4" s="9">
        <f>ROUNDDOWN(IF((O4-N4+1)*K4*X4/365&gt;R4,R4,(O4-N4+1)*K4*X4/365),2)</f>
        <v>5.85</v>
      </c>
      <c r="Z4" s="22">
        <f>R4-Y4</f>
        <v>0</v>
      </c>
      <c r="AA4" s="22"/>
      <c r="AB4" s="9" t="s">
        <v>61</v>
      </c>
      <c r="AD4" s="28">
        <f>(O4-N4+1)*K4*X4/365</f>
        <v>5.8685</v>
      </c>
    </row>
    <row r="5" spans="1:30" s="2" customFormat="1">
      <c r="A5" s="10"/>
      <c r="B5" s="10"/>
      <c r="C5" s="10"/>
      <c r="D5" s="10"/>
      <c r="E5" s="10"/>
      <c r="F5" s="10"/>
      <c r="G5" s="10"/>
      <c r="H5" s="10"/>
      <c r="I5" s="10"/>
      <c r="J5" s="10"/>
      <c r="K5" s="10"/>
      <c r="L5" s="10"/>
      <c r="M5" s="17"/>
      <c r="N5" s="18"/>
      <c r="O5" s="18"/>
      <c r="P5" s="19">
        <v>44947</v>
      </c>
      <c r="Q5" s="25">
        <v>1.07</v>
      </c>
      <c r="R5" s="10"/>
      <c r="S5" s="19">
        <f>P5</f>
        <v>44947</v>
      </c>
      <c r="T5" s="25">
        <f>(S5-N4)/360*$U$4*$K$4</f>
        <v>1.07</v>
      </c>
      <c r="U5" s="25">
        <f>T5-Q5</f>
        <v>0</v>
      </c>
      <c r="V5" s="18"/>
      <c r="W5" s="10"/>
      <c r="X5" s="10"/>
      <c r="Y5" s="10">
        <f>ROUNDDOWN((V5-N4)*K4*X4/365,2)</f>
        <v>-738.46</v>
      </c>
      <c r="Z5" s="10"/>
      <c r="AA5" s="10"/>
      <c r="AB5" s="10"/>
    </row>
    <row r="6" spans="1:30" s="2" customFormat="1">
      <c r="A6" s="10"/>
      <c r="B6" s="10"/>
      <c r="C6" s="10"/>
      <c r="D6" s="10"/>
      <c r="E6" s="10"/>
      <c r="F6" s="10"/>
      <c r="G6" s="10"/>
      <c r="H6" s="10"/>
      <c r="I6" s="10"/>
      <c r="J6" s="10"/>
      <c r="K6" s="10"/>
      <c r="L6" s="10"/>
      <c r="M6" s="17"/>
      <c r="N6" s="18"/>
      <c r="O6" s="18"/>
      <c r="P6" s="19">
        <v>44978</v>
      </c>
      <c r="Q6" s="25">
        <v>1.38</v>
      </c>
      <c r="R6" s="10"/>
      <c r="S6" s="19">
        <f t="shared" ref="S6:S16" si="0">P6</f>
        <v>44978</v>
      </c>
      <c r="T6" s="25">
        <f>(S6-S5)*$K$4*$U$4/360</f>
        <v>1.38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45006</v>
      </c>
      <c r="Q7" s="25">
        <v>1.24</v>
      </c>
      <c r="R7" s="10"/>
      <c r="S7" s="19">
        <f t="shared" si="0"/>
        <v>45006</v>
      </c>
      <c r="T7" s="25">
        <f t="shared" ref="T7:T16" si="1">(S7-S6)*$K$4*$U$4/360</f>
        <v>1.24</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45037</v>
      </c>
      <c r="Q8" s="25">
        <v>1.38</v>
      </c>
      <c r="R8" s="10"/>
      <c r="S8" s="19">
        <f t="shared" si="0"/>
        <v>45037</v>
      </c>
      <c r="T8" s="25">
        <f t="shared" si="1"/>
        <v>1.38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45067</v>
      </c>
      <c r="Q9" s="25">
        <v>1.33</v>
      </c>
      <c r="R9" s="10"/>
      <c r="S9" s="19">
        <f t="shared" si="0"/>
        <v>45067</v>
      </c>
      <c r="T9" s="25">
        <f t="shared" si="1"/>
        <v>1.33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45098</v>
      </c>
      <c r="Q10" s="25">
        <v>1.38</v>
      </c>
      <c r="R10" s="10"/>
      <c r="S10" s="19">
        <f t="shared" si="0"/>
        <v>45098</v>
      </c>
      <c r="T10" s="25">
        <f t="shared" si="1"/>
        <v>1.38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45128</v>
      </c>
      <c r="Q11" s="25">
        <v>1.33</v>
      </c>
      <c r="R11" s="10"/>
      <c r="S11" s="19">
        <f t="shared" si="0"/>
        <v>45128</v>
      </c>
      <c r="T11" s="25">
        <f t="shared" si="1"/>
        <v>1.33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45159</v>
      </c>
      <c r="Q12" s="25">
        <v>1.38</v>
      </c>
      <c r="R12" s="10"/>
      <c r="S12" s="19">
        <f t="shared" si="0"/>
        <v>45159</v>
      </c>
      <c r="T12" s="25">
        <f t="shared" si="1"/>
        <v>1.38</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45190</v>
      </c>
      <c r="Q13" s="25">
        <v>1.38</v>
      </c>
      <c r="R13" s="10"/>
      <c r="S13" s="19">
        <f t="shared" si="0"/>
        <v>45190</v>
      </c>
      <c r="T13" s="25">
        <f t="shared" si="1"/>
        <v>1.38</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45220</v>
      </c>
      <c r="Q14" s="25">
        <v>1.33</v>
      </c>
      <c r="R14" s="10"/>
      <c r="S14" s="19">
        <f t="shared" si="0"/>
        <v>45220</v>
      </c>
      <c r="T14" s="25">
        <f t="shared" si="1"/>
        <v>1.33</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45251</v>
      </c>
      <c r="Q15" s="25">
        <v>1.38</v>
      </c>
      <c r="R15" s="10"/>
      <c r="S15" s="19">
        <f t="shared" si="0"/>
        <v>45251</v>
      </c>
      <c r="T15" s="25">
        <f t="shared" si="1"/>
        <v>1.38</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45279</v>
      </c>
      <c r="Q16" s="25">
        <v>1.24</v>
      </c>
      <c r="R16" s="10"/>
      <c r="S16" s="19">
        <f t="shared" si="0"/>
        <v>45279</v>
      </c>
      <c r="T16" s="25">
        <f t="shared" si="1"/>
        <v>1.24</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四川省西点能源有限公司</v>
      </c>
      <c r="C26" s="9" t="str">
        <f t="shared" ref="C26:G26" si="3">C4</f>
        <v>成都高新技术产业开发区市场监督管理局</v>
      </c>
      <c r="D26" s="9">
        <f t="shared" si="3"/>
        <v>9.1510100350642701E+17</v>
      </c>
      <c r="E26" s="9" t="str">
        <f t="shared" si="3"/>
        <v>有限责任公司</v>
      </c>
      <c r="F26" s="9" t="str">
        <f t="shared" si="3"/>
        <v>成都高新技术产业开发区税务局第二税务所</v>
      </c>
      <c r="G26" s="9" t="str">
        <f t="shared" si="3"/>
        <v>6510000010120100518805浙商银行股份有限公司成都分行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四川省西点能源有限公司</v>
      </c>
      <c r="C48" s="9" t="str">
        <f t="shared" ref="C48:G48" si="7">C26</f>
        <v>成都高新技术产业开发区市场监督管理局</v>
      </c>
      <c r="D48" s="9">
        <f t="shared" si="7"/>
        <v>9.1510100350642701E+17</v>
      </c>
      <c r="E48" s="9" t="str">
        <f t="shared" si="7"/>
        <v>有限责任公司</v>
      </c>
      <c r="F48" s="9" t="str">
        <f t="shared" si="7"/>
        <v>成都高新技术产业开发区税务局第二税务所</v>
      </c>
      <c r="G48" s="9" t="str">
        <f t="shared" si="7"/>
        <v>6510000010120100518805浙商银行股份有限公司成都分行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四川省西点能源有限公司</v>
      </c>
      <c r="C70" s="9" t="str">
        <f t="shared" ref="C70:G70" si="10">C48</f>
        <v>成都高新技术产业开发区市场监督管理局</v>
      </c>
      <c r="D70" s="9">
        <f t="shared" si="10"/>
        <v>9.1510100350642701E+17</v>
      </c>
      <c r="E70" s="9" t="str">
        <f t="shared" si="10"/>
        <v>有限责任公司</v>
      </c>
      <c r="F70" s="9" t="str">
        <f t="shared" si="10"/>
        <v>成都高新技术产业开发区税务局第二税务所</v>
      </c>
      <c r="G70" s="9" t="str">
        <f t="shared" si="10"/>
        <v>6510000010120100518805浙商银行股份有限公司成都分行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四川省西点能源有限公司</v>
      </c>
      <c r="C92" s="9" t="str">
        <f t="shared" ref="C92:G92" si="11">C70</f>
        <v>成都高新技术产业开发区市场监督管理局</v>
      </c>
      <c r="D92" s="9">
        <f t="shared" si="11"/>
        <v>9.1510100350642701E+17</v>
      </c>
      <c r="E92" s="9" t="str">
        <f t="shared" si="11"/>
        <v>有限责任公司</v>
      </c>
      <c r="F92" s="9" t="str">
        <f t="shared" si="11"/>
        <v>成都高新技术产业开发区税务局第二税务所</v>
      </c>
      <c r="G92" s="9" t="str">
        <f t="shared" si="11"/>
        <v>6510000010120100518805浙商银行股份有限公司成都分行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400</v>
      </c>
      <c r="L114" s="9"/>
      <c r="M114" s="20"/>
      <c r="N114" s="16"/>
      <c r="O114" s="16"/>
      <c r="P114" s="9"/>
      <c r="Q114" s="9"/>
      <c r="R114" s="22">
        <f>R92+R70+R48+R26+R4</f>
        <v>5.85</v>
      </c>
      <c r="S114" s="9"/>
      <c r="T114" s="9"/>
      <c r="U114" s="9"/>
      <c r="V114" s="9"/>
      <c r="W114" s="9"/>
      <c r="X114" s="9"/>
      <c r="Y114" s="9">
        <f>Y92+Y70+Y48+Y26++Y4</f>
        <v>5.85</v>
      </c>
      <c r="Z114" s="9"/>
      <c r="AA114" s="9"/>
      <c r="AB114" s="9"/>
    </row>
    <row r="115" spans="1:28">
      <c r="I115" t="s">
        <v>49</v>
      </c>
      <c r="K115">
        <f>IF(K114&gt;3000,K116,K114)</f>
        <v>400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116"/>
  <sheetViews>
    <sheetView topLeftCell="H1" zoomScale="70" zoomScaleNormal="70" workbookViewId="0">
      <pane ySplit="3" topLeftCell="A4" activePane="bottomLeft" state="frozen"/>
      <selection pane="bottomLeft" activeCell="O26" sqref="O26:AB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成都思越智能装备股份有限公司审计明细表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256</v>
      </c>
      <c r="C4" s="9" t="s">
        <v>52</v>
      </c>
      <c r="D4" s="9" t="s">
        <v>257</v>
      </c>
      <c r="E4" s="9" t="s">
        <v>78</v>
      </c>
      <c r="F4" s="9" t="s">
        <v>258</v>
      </c>
      <c r="G4" s="9" t="s">
        <v>259</v>
      </c>
      <c r="H4" s="9" t="s">
        <v>130</v>
      </c>
      <c r="I4" s="9" t="s">
        <v>260</v>
      </c>
      <c r="J4" s="9" t="s">
        <v>58</v>
      </c>
      <c r="K4" s="9">
        <v>700</v>
      </c>
      <c r="L4" s="9" t="s">
        <v>261</v>
      </c>
      <c r="M4" s="20" t="s">
        <v>262</v>
      </c>
      <c r="N4" s="16">
        <v>44910</v>
      </c>
      <c r="O4" s="15">
        <v>45223</v>
      </c>
      <c r="P4" s="9">
        <f>P15-N4</f>
        <v>313</v>
      </c>
      <c r="Q4" s="22">
        <f>SUM(Q5:Q25)</f>
        <v>23.44</v>
      </c>
      <c r="R4" s="22">
        <v>9.1300000000000008</v>
      </c>
      <c r="S4" s="9"/>
      <c r="T4" s="22">
        <f>SUM(T5:T25)</f>
        <v>23.44</v>
      </c>
      <c r="U4" s="23">
        <v>3.85E-2</v>
      </c>
      <c r="V4" s="16"/>
      <c r="W4" s="9" t="s">
        <v>263</v>
      </c>
      <c r="X4" s="24">
        <v>1.4999999999999999E-2</v>
      </c>
      <c r="Y4" s="9">
        <f>ROUNDDOWN(IF((O4-N4+1)*K4*X4/365&gt;R4,R4,(O4-N4+1)*K4*X4/365),2)</f>
        <v>9.0299999999999994</v>
      </c>
      <c r="Z4" s="22">
        <f>R4-Y4</f>
        <v>0.1</v>
      </c>
      <c r="AA4" s="22" t="s">
        <v>108</v>
      </c>
      <c r="AB4" s="9" t="s">
        <v>61</v>
      </c>
      <c r="AD4" s="28">
        <f>(O4-N4+1)*K4*X4/365</f>
        <v>9.0328999999999997</v>
      </c>
    </row>
    <row r="5" spans="1:30" s="2" customFormat="1">
      <c r="A5" s="10"/>
      <c r="B5" s="10"/>
      <c r="C5" s="10"/>
      <c r="D5" s="10"/>
      <c r="E5" s="10"/>
      <c r="F5" s="10"/>
      <c r="G5" s="10"/>
      <c r="H5" s="10"/>
      <c r="I5" s="10"/>
      <c r="J5" s="10"/>
      <c r="K5" s="10"/>
      <c r="L5" s="10"/>
      <c r="M5" s="17"/>
      <c r="N5" s="18"/>
      <c r="O5" s="18"/>
      <c r="P5" s="19">
        <v>44947</v>
      </c>
      <c r="Q5" s="25">
        <v>2.77</v>
      </c>
      <c r="R5" s="10"/>
      <c r="S5" s="19">
        <f>P5</f>
        <v>44947</v>
      </c>
      <c r="T5" s="25">
        <f>(S5-N4)/360*$U$4*$K$4</f>
        <v>2.77</v>
      </c>
      <c r="U5" s="25">
        <f>T5-Q5</f>
        <v>0</v>
      </c>
      <c r="V5" s="18">
        <v>45223</v>
      </c>
      <c r="W5" s="10">
        <v>700</v>
      </c>
      <c r="X5" s="10"/>
      <c r="Y5" s="10">
        <f>ROUNDDOWN((V5-N4)*K4*X4/365,2)</f>
        <v>9</v>
      </c>
      <c r="Z5" s="10"/>
      <c r="AA5" s="10"/>
      <c r="AB5" s="10"/>
    </row>
    <row r="6" spans="1:30" s="2" customFormat="1">
      <c r="A6" s="10"/>
      <c r="B6" s="10"/>
      <c r="C6" s="10"/>
      <c r="D6" s="10"/>
      <c r="E6" s="10"/>
      <c r="F6" s="10"/>
      <c r="G6" s="10"/>
      <c r="H6" s="10"/>
      <c r="I6" s="10"/>
      <c r="J6" s="10"/>
      <c r="K6" s="10"/>
      <c r="L6" s="10"/>
      <c r="M6" s="17"/>
      <c r="N6" s="18"/>
      <c r="O6" s="18"/>
      <c r="P6" s="19">
        <v>44978</v>
      </c>
      <c r="Q6" s="25">
        <v>2.3199999999999998</v>
      </c>
      <c r="R6" s="10"/>
      <c r="S6" s="19">
        <f t="shared" ref="S6:S15" si="0">P6</f>
        <v>44978</v>
      </c>
      <c r="T6" s="25">
        <f>(S6-S5)*$K$4*$U$4/360</f>
        <v>2.3199999999999998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45006</v>
      </c>
      <c r="Q7" s="25">
        <v>2.1</v>
      </c>
      <c r="R7" s="10"/>
      <c r="S7" s="19">
        <f t="shared" si="0"/>
        <v>45006</v>
      </c>
      <c r="T7" s="25">
        <f t="shared" ref="T7:T15" si="1">(S7-S6)*$K$4*$U$4/360</f>
        <v>2.1</v>
      </c>
      <c r="U7" s="25">
        <f t="shared" ref="U7:U15"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45037</v>
      </c>
      <c r="Q8" s="25">
        <v>2.3199999999999998</v>
      </c>
      <c r="R8" s="10"/>
      <c r="S8" s="19">
        <f t="shared" si="0"/>
        <v>45037</v>
      </c>
      <c r="T8" s="25">
        <f t="shared" si="1"/>
        <v>2.3199999999999998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45067</v>
      </c>
      <c r="Q9" s="25">
        <v>2.25</v>
      </c>
      <c r="R9" s="10"/>
      <c r="S9" s="19">
        <f t="shared" si="0"/>
        <v>45067</v>
      </c>
      <c r="T9" s="25">
        <f t="shared" si="1"/>
        <v>2.25</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45098</v>
      </c>
      <c r="Q10" s="25">
        <v>2.3199999999999998</v>
      </c>
      <c r="R10" s="10"/>
      <c r="S10" s="19">
        <f t="shared" si="0"/>
        <v>45098</v>
      </c>
      <c r="T10" s="25">
        <f t="shared" si="1"/>
        <v>2.3199999999999998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45128</v>
      </c>
      <c r="Q11" s="25">
        <v>2.25</v>
      </c>
      <c r="R11" s="10"/>
      <c r="S11" s="19">
        <f t="shared" si="0"/>
        <v>45128</v>
      </c>
      <c r="T11" s="25">
        <f t="shared" si="1"/>
        <v>2.25</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45159</v>
      </c>
      <c r="Q12" s="25">
        <v>2.3199999999999998</v>
      </c>
      <c r="R12" s="10"/>
      <c r="S12" s="19">
        <f t="shared" si="0"/>
        <v>45159</v>
      </c>
      <c r="T12" s="25">
        <f t="shared" si="1"/>
        <v>2.3199999999999998</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45190</v>
      </c>
      <c r="Q13" s="25">
        <v>2.3199999999999998</v>
      </c>
      <c r="R13" s="10"/>
      <c r="S13" s="19">
        <f t="shared" si="0"/>
        <v>45190</v>
      </c>
      <c r="T13" s="25">
        <f t="shared" si="1"/>
        <v>2.3199999999999998</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45220</v>
      </c>
      <c r="Q14" s="25">
        <v>2.25</v>
      </c>
      <c r="R14" s="10"/>
      <c r="S14" s="19">
        <f t="shared" si="0"/>
        <v>45220</v>
      </c>
      <c r="T14" s="25">
        <f t="shared" si="1"/>
        <v>2.25</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45223</v>
      </c>
      <c r="Q15" s="25">
        <v>0.22</v>
      </c>
      <c r="R15" s="10"/>
      <c r="S15" s="19">
        <f t="shared" si="0"/>
        <v>45223</v>
      </c>
      <c r="T15" s="25">
        <f t="shared" si="1"/>
        <v>0.22</v>
      </c>
      <c r="U15" s="25">
        <f t="shared" si="2"/>
        <v>0</v>
      </c>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c r="A26" s="9">
        <v>2</v>
      </c>
      <c r="B26" s="9" t="str">
        <f>B4</f>
        <v>成都思越智能装备股份有限公司</v>
      </c>
      <c r="C26" s="9" t="str">
        <f t="shared" ref="C26:G26" si="3">C4</f>
        <v>成都市市场监督管理局</v>
      </c>
      <c r="D26" s="9" t="str">
        <f t="shared" si="3"/>
        <v>91510100MA6CDAY97U</v>
      </c>
      <c r="E26" s="9" t="str">
        <f t="shared" si="3"/>
        <v>民营企业</v>
      </c>
      <c r="F26" s="9" t="str">
        <f t="shared" si="3"/>
        <v>成都高新税务局</v>
      </c>
      <c r="G26" s="9" t="str">
        <f t="shared" si="3"/>
        <v>中国银行郫都汉正广场支行  12125718 1169</v>
      </c>
      <c r="H26" s="9" t="s">
        <v>130</v>
      </c>
      <c r="I26" s="9" t="s">
        <v>260</v>
      </c>
      <c r="J26" s="9" t="s">
        <v>58</v>
      </c>
      <c r="K26" s="9">
        <v>300</v>
      </c>
      <c r="L26" s="9" t="s">
        <v>261</v>
      </c>
      <c r="M26" s="20" t="s">
        <v>264</v>
      </c>
      <c r="N26" s="16">
        <v>44991</v>
      </c>
      <c r="O26" s="15">
        <v>45223</v>
      </c>
      <c r="P26" s="9">
        <f>P34-N26</f>
        <v>232</v>
      </c>
      <c r="Q26" s="22">
        <f>SUM(Q27:Q47)</f>
        <v>7.43</v>
      </c>
      <c r="R26" s="9">
        <v>2.9</v>
      </c>
      <c r="S26" s="9"/>
      <c r="T26" s="9">
        <f>SUM(T27:T47)</f>
        <v>7.43</v>
      </c>
      <c r="U26" s="23">
        <v>3.85E-2</v>
      </c>
      <c r="V26" s="16"/>
      <c r="W26" s="9" t="s">
        <v>265</v>
      </c>
      <c r="X26" s="24">
        <v>1.4999999999999999E-2</v>
      </c>
      <c r="Y26" s="9">
        <f>ROUNDDOWN(IF((O26-N26+1)*K26*X26/365&gt;R26,R26,(O26-N26+1)*K26*X26/365),2)</f>
        <v>2.87</v>
      </c>
      <c r="Z26" s="9">
        <f>R26-Y26</f>
        <v>2.9999999999999801E-2</v>
      </c>
      <c r="AA26" s="9" t="s">
        <v>108</v>
      </c>
      <c r="AB26" s="9" t="s">
        <v>61</v>
      </c>
      <c r="AD26" s="1">
        <f>(O26-N26+1)*K26*X26/365</f>
        <v>2.8726027397260299</v>
      </c>
    </row>
    <row r="27" spans="1:30" s="2" customFormat="1">
      <c r="A27" s="10"/>
      <c r="B27" s="10"/>
      <c r="C27" s="10"/>
      <c r="D27" s="10"/>
      <c r="E27" s="10"/>
      <c r="F27" s="10"/>
      <c r="G27" s="10"/>
      <c r="H27" s="10"/>
      <c r="I27" s="10"/>
      <c r="J27" s="10"/>
      <c r="K27" s="10"/>
      <c r="L27" s="10"/>
      <c r="M27" s="17"/>
      <c r="N27" s="18"/>
      <c r="O27" s="16"/>
      <c r="P27" s="19">
        <v>45037</v>
      </c>
      <c r="Q27" s="25">
        <v>1.48</v>
      </c>
      <c r="R27" s="10"/>
      <c r="S27" s="19">
        <f>P27</f>
        <v>45037</v>
      </c>
      <c r="T27" s="25">
        <f>(S27-N26)/360*$U$26*$K$26</f>
        <v>1.48</v>
      </c>
      <c r="U27" s="25">
        <f>T27-Q27</f>
        <v>0</v>
      </c>
      <c r="V27" s="18">
        <v>45223</v>
      </c>
      <c r="W27" s="10">
        <v>300</v>
      </c>
      <c r="X27" s="10"/>
      <c r="Y27" s="29">
        <f>ROUNDDOWN((V27-N26)*K26*X26/365,2)</f>
        <v>2.86</v>
      </c>
      <c r="Z27" s="10"/>
      <c r="AA27" s="10"/>
      <c r="AB27" s="10"/>
    </row>
    <row r="28" spans="1:30" s="2" customFormat="1">
      <c r="A28" s="10"/>
      <c r="B28" s="10"/>
      <c r="C28" s="10"/>
      <c r="D28" s="10"/>
      <c r="E28" s="10"/>
      <c r="F28" s="10"/>
      <c r="G28" s="10"/>
      <c r="H28" s="10"/>
      <c r="I28" s="10"/>
      <c r="J28" s="10"/>
      <c r="K28" s="10"/>
      <c r="L28" s="10"/>
      <c r="M28" s="17"/>
      <c r="N28" s="18"/>
      <c r="O28" s="18"/>
      <c r="P28" s="19">
        <v>45067</v>
      </c>
      <c r="Q28" s="25">
        <v>0.96</v>
      </c>
      <c r="R28" s="10"/>
      <c r="S28" s="19">
        <f t="shared" ref="S28:S34" si="4">P28</f>
        <v>45067</v>
      </c>
      <c r="T28" s="25">
        <f>(S28-S27)*$U$26*$K$26/360</f>
        <v>0.96</v>
      </c>
      <c r="U28" s="25">
        <f t="shared" ref="U28:U34" si="5">T28-Q28</f>
        <v>0</v>
      </c>
      <c r="V28" s="10"/>
      <c r="W28" s="10"/>
      <c r="X28" s="10"/>
      <c r="Y28" s="29">
        <f>ROUNDUP((O26-V27+1)*(K26-W27)*X26/365,2)</f>
        <v>0</v>
      </c>
      <c r="Z28" s="10"/>
      <c r="AA28" s="10"/>
      <c r="AB28" s="10"/>
    </row>
    <row r="29" spans="1:30" s="2" customFormat="1">
      <c r="A29" s="10"/>
      <c r="B29" s="10"/>
      <c r="C29" s="10"/>
      <c r="D29" s="10"/>
      <c r="E29" s="10"/>
      <c r="F29" s="10"/>
      <c r="G29" s="10"/>
      <c r="H29" s="10"/>
      <c r="I29" s="10"/>
      <c r="J29" s="10"/>
      <c r="K29" s="10"/>
      <c r="L29" s="10"/>
      <c r="M29" s="17"/>
      <c r="N29" s="18"/>
      <c r="O29" s="18"/>
      <c r="P29" s="19">
        <v>45098</v>
      </c>
      <c r="Q29" s="25">
        <v>0.99</v>
      </c>
      <c r="R29" s="10"/>
      <c r="S29" s="19">
        <f t="shared" si="4"/>
        <v>45098</v>
      </c>
      <c r="T29" s="25">
        <f t="shared" ref="T29:T34" si="6">(S29-S28)*$U$26*$K$26/360</f>
        <v>0.99</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45128</v>
      </c>
      <c r="Q30" s="25">
        <v>0.96</v>
      </c>
      <c r="R30" s="10"/>
      <c r="S30" s="19">
        <f t="shared" si="4"/>
        <v>45128</v>
      </c>
      <c r="T30" s="25">
        <f t="shared" si="6"/>
        <v>0.96</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45159</v>
      </c>
      <c r="Q31" s="25">
        <v>0.99</v>
      </c>
      <c r="R31" s="10"/>
      <c r="S31" s="19">
        <f t="shared" si="4"/>
        <v>45159</v>
      </c>
      <c r="T31" s="25">
        <f t="shared" si="6"/>
        <v>0.99</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45190</v>
      </c>
      <c r="Q32" s="25">
        <v>0.99</v>
      </c>
      <c r="R32" s="10"/>
      <c r="S32" s="19">
        <f t="shared" si="4"/>
        <v>45190</v>
      </c>
      <c r="T32" s="25">
        <f t="shared" si="6"/>
        <v>0.99</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45220</v>
      </c>
      <c r="Q33" s="25">
        <v>0.96</v>
      </c>
      <c r="R33" s="10"/>
      <c r="S33" s="19">
        <f t="shared" si="4"/>
        <v>45220</v>
      </c>
      <c r="T33" s="25">
        <f t="shared" si="6"/>
        <v>0.96</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45223</v>
      </c>
      <c r="Q34" s="25">
        <v>0.1</v>
      </c>
      <c r="R34" s="10"/>
      <c r="S34" s="19">
        <f t="shared" si="4"/>
        <v>45223</v>
      </c>
      <c r="T34" s="25">
        <f t="shared" si="6"/>
        <v>0.1</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成都思越智能装备股份有限公司</v>
      </c>
      <c r="C48" s="9" t="str">
        <f t="shared" ref="C48:G48" si="7">C26</f>
        <v>成都市市场监督管理局</v>
      </c>
      <c r="D48" s="9" t="str">
        <f t="shared" si="7"/>
        <v>91510100MA6CDAY97U</v>
      </c>
      <c r="E48" s="9" t="str">
        <f t="shared" si="7"/>
        <v>民营企业</v>
      </c>
      <c r="F48" s="9" t="str">
        <f t="shared" si="7"/>
        <v>成都高新税务局</v>
      </c>
      <c r="G48" s="9" t="str">
        <f t="shared" si="7"/>
        <v>中国银行郫都汉正广场支行  12125718 1169</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成都思越智能装备股份有限公司</v>
      </c>
      <c r="C70" s="9" t="str">
        <f t="shared" ref="C70:G70" si="10">C48</f>
        <v>成都市市场监督管理局</v>
      </c>
      <c r="D70" s="9" t="str">
        <f t="shared" si="10"/>
        <v>91510100MA6CDAY97U</v>
      </c>
      <c r="E70" s="9" t="str">
        <f t="shared" si="10"/>
        <v>民营企业</v>
      </c>
      <c r="F70" s="9" t="str">
        <f t="shared" si="10"/>
        <v>成都高新税务局</v>
      </c>
      <c r="G70" s="9" t="str">
        <f t="shared" si="10"/>
        <v>中国银行郫都汉正广场支行  12125718 1169</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成都思越智能装备股份有限公司</v>
      </c>
      <c r="C92" s="9" t="str">
        <f t="shared" ref="C92:G92" si="11">C70</f>
        <v>成都市市场监督管理局</v>
      </c>
      <c r="D92" s="9" t="str">
        <f t="shared" si="11"/>
        <v>91510100MA6CDAY97U</v>
      </c>
      <c r="E92" s="9" t="str">
        <f t="shared" si="11"/>
        <v>民营企业</v>
      </c>
      <c r="F92" s="9" t="str">
        <f t="shared" si="11"/>
        <v>成都高新税务局</v>
      </c>
      <c r="G92" s="9" t="str">
        <f t="shared" si="11"/>
        <v>中国银行郫都汉正广场支行  12125718 1169</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22">
        <f>R92+R70+R48+R26+R4</f>
        <v>12.03</v>
      </c>
      <c r="S114" s="9"/>
      <c r="T114" s="9"/>
      <c r="U114" s="9"/>
      <c r="V114" s="9"/>
      <c r="W114" s="9"/>
      <c r="X114" s="9"/>
      <c r="Y114" s="9">
        <f>Y92+Y70+Y48+Y26++Y4</f>
        <v>11.9</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成都富元辰科技有限公司审计明细表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266</v>
      </c>
      <c r="C4" s="9" t="s">
        <v>32</v>
      </c>
      <c r="D4" s="9" t="s">
        <v>267</v>
      </c>
      <c r="E4" s="9" t="s">
        <v>101</v>
      </c>
      <c r="F4" s="9" t="s">
        <v>268</v>
      </c>
      <c r="G4" s="9" t="s">
        <v>269</v>
      </c>
      <c r="H4" s="9" t="s">
        <v>71</v>
      </c>
      <c r="I4" s="9" t="s">
        <v>72</v>
      </c>
      <c r="J4" s="9" t="s">
        <v>58</v>
      </c>
      <c r="K4" s="9">
        <v>301</v>
      </c>
      <c r="L4" s="9" t="s">
        <v>270</v>
      </c>
      <c r="M4" s="20" t="s">
        <v>271</v>
      </c>
      <c r="N4" s="15">
        <v>44918</v>
      </c>
      <c r="O4" s="16">
        <v>45266</v>
      </c>
      <c r="P4" s="9">
        <f>P16-N4</f>
        <v>348</v>
      </c>
      <c r="Q4" s="22">
        <f>SUM(Q5:Q25)</f>
        <v>11.22</v>
      </c>
      <c r="R4" s="22">
        <v>4.51</v>
      </c>
      <c r="S4" s="9"/>
      <c r="T4" s="22">
        <f>SUM(T5:T25)</f>
        <v>11.22</v>
      </c>
      <c r="U4" s="23">
        <v>3.85E-2</v>
      </c>
      <c r="V4" s="16"/>
      <c r="W4" s="9" t="s">
        <v>42</v>
      </c>
      <c r="X4" s="24">
        <v>1.4999999999999999E-2</v>
      </c>
      <c r="Y4" s="9">
        <f>ROUNDDOWN(IF((O4-N4+1)*K4*X4/365&gt;R4,R4,(O4-N4+1)*K4*X4/365),2)</f>
        <v>4.3099999999999996</v>
      </c>
      <c r="Z4" s="22">
        <f>R4-Y4</f>
        <v>0.2</v>
      </c>
      <c r="AA4" s="22" t="s">
        <v>272</v>
      </c>
      <c r="AB4" s="9" t="s">
        <v>61</v>
      </c>
      <c r="AD4" s="28">
        <f>(O4-N4+1)*K4*X4/365</f>
        <v>4.3170999999999999</v>
      </c>
    </row>
    <row r="5" spans="1:30" s="2" customFormat="1" hidden="1">
      <c r="A5" s="10"/>
      <c r="B5" s="10"/>
      <c r="C5" s="10"/>
      <c r="D5" s="10"/>
      <c r="E5" s="10"/>
      <c r="F5" s="10"/>
      <c r="G5" s="10"/>
      <c r="H5" s="10"/>
      <c r="I5" s="10"/>
      <c r="J5" s="10"/>
      <c r="K5" s="10"/>
      <c r="L5" s="10"/>
      <c r="M5" s="17"/>
      <c r="N5" s="18"/>
      <c r="O5" s="18"/>
      <c r="P5" s="19">
        <v>44947</v>
      </c>
      <c r="Q5" s="25">
        <v>0.93</v>
      </c>
      <c r="R5" s="10"/>
      <c r="S5" s="19">
        <f>P5</f>
        <v>44947</v>
      </c>
      <c r="T5" s="25">
        <f>(S5-N4)/360*$U$4*$K$4</f>
        <v>0.93</v>
      </c>
      <c r="U5" s="25">
        <f>T5-Q5</f>
        <v>0</v>
      </c>
      <c r="V5" s="18"/>
      <c r="W5" s="10"/>
      <c r="X5" s="10"/>
      <c r="Y5" s="10">
        <f>ROUNDDOWN((V5-N4)*K4*X4/365,2)</f>
        <v>-555.62</v>
      </c>
      <c r="Z5" s="10"/>
      <c r="AA5" s="10"/>
      <c r="AB5" s="10"/>
    </row>
    <row r="6" spans="1:30" s="2" customFormat="1" hidden="1">
      <c r="A6" s="10"/>
      <c r="B6" s="10"/>
      <c r="C6" s="10"/>
      <c r="D6" s="10"/>
      <c r="E6" s="10"/>
      <c r="F6" s="10"/>
      <c r="G6" s="10"/>
      <c r="H6" s="10"/>
      <c r="I6" s="10"/>
      <c r="J6" s="10"/>
      <c r="K6" s="10"/>
      <c r="L6" s="10"/>
      <c r="M6" s="17"/>
      <c r="N6" s="18"/>
      <c r="O6" s="18"/>
      <c r="P6" s="19">
        <v>44978</v>
      </c>
      <c r="Q6" s="25">
        <v>1</v>
      </c>
      <c r="R6" s="10"/>
      <c r="S6" s="19">
        <f t="shared" ref="S6:S16" si="0">P6</f>
        <v>44978</v>
      </c>
      <c r="T6" s="25">
        <f>(S6-S5)*$K$4*$U$4/360</f>
        <v>1</v>
      </c>
      <c r="U6" s="25">
        <f>T6-Q6</f>
        <v>0</v>
      </c>
      <c r="V6" s="10"/>
      <c r="W6" s="10"/>
      <c r="X6" s="10"/>
      <c r="Y6" s="10"/>
      <c r="Z6" s="10"/>
      <c r="AA6" s="10"/>
      <c r="AB6" s="10"/>
    </row>
    <row r="7" spans="1:30" s="2" customFormat="1" hidden="1">
      <c r="A7" s="10"/>
      <c r="B7" s="10"/>
      <c r="C7" s="10"/>
      <c r="D7" s="10"/>
      <c r="E7" s="10"/>
      <c r="F7" s="10"/>
      <c r="G7" s="10"/>
      <c r="H7" s="10"/>
      <c r="I7" s="10"/>
      <c r="J7" s="10"/>
      <c r="K7" s="10"/>
      <c r="L7" s="10"/>
      <c r="M7" s="17"/>
      <c r="N7" s="18"/>
      <c r="O7" s="18"/>
      <c r="P7" s="19">
        <v>45006</v>
      </c>
      <c r="Q7" s="25">
        <v>0.9</v>
      </c>
      <c r="R7" s="10"/>
      <c r="S7" s="19">
        <f t="shared" si="0"/>
        <v>45006</v>
      </c>
      <c r="T7" s="25">
        <f t="shared" ref="T7:T16" si="1">(S7-S6)*$K$4*$U$4/360</f>
        <v>0.9</v>
      </c>
      <c r="U7" s="25">
        <f t="shared" ref="U7:U16" si="2">T7-Q7</f>
        <v>0</v>
      </c>
      <c r="V7" s="10"/>
      <c r="W7" s="10"/>
      <c r="X7" s="10"/>
      <c r="Y7" s="10"/>
      <c r="Z7" s="10"/>
      <c r="AA7" s="10"/>
      <c r="AB7" s="10"/>
    </row>
    <row r="8" spans="1:30" s="2" customFormat="1" hidden="1">
      <c r="A8" s="10"/>
      <c r="B8" s="10"/>
      <c r="C8" s="10"/>
      <c r="D8" s="10"/>
      <c r="E8" s="10"/>
      <c r="F8" s="10"/>
      <c r="G8" s="10"/>
      <c r="H8" s="10"/>
      <c r="I8" s="10"/>
      <c r="J8" s="10"/>
      <c r="K8" s="10"/>
      <c r="L8" s="10"/>
      <c r="M8" s="17"/>
      <c r="N8" s="18"/>
      <c r="O8" s="18"/>
      <c r="P8" s="19">
        <v>45037</v>
      </c>
      <c r="Q8" s="25">
        <v>1</v>
      </c>
      <c r="R8" s="10"/>
      <c r="S8" s="19">
        <f t="shared" si="0"/>
        <v>45037</v>
      </c>
      <c r="T8" s="25">
        <f t="shared" si="1"/>
        <v>1</v>
      </c>
      <c r="U8" s="25">
        <f t="shared" si="2"/>
        <v>0</v>
      </c>
      <c r="V8" s="10"/>
      <c r="W8" s="10"/>
      <c r="X8" s="10"/>
      <c r="Y8" s="10"/>
      <c r="Z8" s="10"/>
      <c r="AA8" s="10"/>
      <c r="AB8" s="10"/>
    </row>
    <row r="9" spans="1:30" s="2" customFormat="1" hidden="1">
      <c r="A9" s="10"/>
      <c r="B9" s="10"/>
      <c r="C9" s="10"/>
      <c r="D9" s="10"/>
      <c r="E9" s="10"/>
      <c r="F9" s="10"/>
      <c r="G9" s="10"/>
      <c r="H9" s="10"/>
      <c r="I9" s="10"/>
      <c r="J9" s="10"/>
      <c r="K9" s="10"/>
      <c r="L9" s="10"/>
      <c r="M9" s="17"/>
      <c r="N9" s="18"/>
      <c r="O9" s="18"/>
      <c r="P9" s="19">
        <v>45067</v>
      </c>
      <c r="Q9" s="25">
        <v>0.97</v>
      </c>
      <c r="R9" s="10"/>
      <c r="S9" s="19">
        <f t="shared" si="0"/>
        <v>45067</v>
      </c>
      <c r="T9" s="25">
        <f t="shared" si="1"/>
        <v>0.97</v>
      </c>
      <c r="U9" s="25">
        <f t="shared" si="2"/>
        <v>0</v>
      </c>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v>45098</v>
      </c>
      <c r="Q10" s="25">
        <v>1</v>
      </c>
      <c r="R10" s="10"/>
      <c r="S10" s="19">
        <f t="shared" si="0"/>
        <v>45098</v>
      </c>
      <c r="T10" s="25">
        <f t="shared" si="1"/>
        <v>1</v>
      </c>
      <c r="U10" s="25">
        <f t="shared" si="2"/>
        <v>0</v>
      </c>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v>45128</v>
      </c>
      <c r="Q11" s="25">
        <v>0.97</v>
      </c>
      <c r="R11" s="10"/>
      <c r="S11" s="19">
        <f t="shared" si="0"/>
        <v>45128</v>
      </c>
      <c r="T11" s="25">
        <f t="shared" si="1"/>
        <v>0.97</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v>45159</v>
      </c>
      <c r="Q12" s="25">
        <v>1</v>
      </c>
      <c r="R12" s="10"/>
      <c r="S12" s="19">
        <f t="shared" si="0"/>
        <v>45159</v>
      </c>
      <c r="T12" s="25">
        <f t="shared" si="1"/>
        <v>1</v>
      </c>
      <c r="U12" s="25">
        <f t="shared" si="2"/>
        <v>0</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v>45190</v>
      </c>
      <c r="Q13" s="25">
        <v>1</v>
      </c>
      <c r="R13" s="10"/>
      <c r="S13" s="19">
        <f t="shared" si="0"/>
        <v>45190</v>
      </c>
      <c r="T13" s="25">
        <f t="shared" si="1"/>
        <v>1</v>
      </c>
      <c r="U13" s="25">
        <f t="shared" si="2"/>
        <v>0</v>
      </c>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v>45220</v>
      </c>
      <c r="Q14" s="25">
        <v>0.97</v>
      </c>
      <c r="R14" s="10"/>
      <c r="S14" s="19">
        <f t="shared" si="0"/>
        <v>45220</v>
      </c>
      <c r="T14" s="25">
        <f t="shared" si="1"/>
        <v>0.97</v>
      </c>
      <c r="U14" s="25">
        <f t="shared" si="2"/>
        <v>0</v>
      </c>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v>45251</v>
      </c>
      <c r="Q15" s="25">
        <v>1</v>
      </c>
      <c r="R15" s="10"/>
      <c r="S15" s="19">
        <f t="shared" si="0"/>
        <v>45251</v>
      </c>
      <c r="T15" s="25">
        <f t="shared" si="1"/>
        <v>1</v>
      </c>
      <c r="U15" s="25">
        <f t="shared" si="2"/>
        <v>0</v>
      </c>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v>45266</v>
      </c>
      <c r="Q16" s="25">
        <v>0.48</v>
      </c>
      <c r="R16" s="10"/>
      <c r="S16" s="19">
        <f t="shared" si="0"/>
        <v>45266</v>
      </c>
      <c r="T16" s="25">
        <f t="shared" si="1"/>
        <v>0.48</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c r="A26" s="9">
        <v>2</v>
      </c>
      <c r="B26" s="9" t="str">
        <f>B4</f>
        <v>成都富元辰科技有限公司</v>
      </c>
      <c r="C26" s="9" t="str">
        <f t="shared" ref="C26:G26" si="3">C4</f>
        <v>成都高新技术产业开发区市场监督管理局</v>
      </c>
      <c r="D26" s="9" t="str">
        <f t="shared" si="3"/>
        <v>91510100MA61XWLW1M</v>
      </c>
      <c r="E26" s="9" t="str">
        <f t="shared" si="3"/>
        <v>民营</v>
      </c>
      <c r="F26" s="9" t="str">
        <f t="shared" si="3"/>
        <v>成都高新区税务局西园税务所</v>
      </c>
      <c r="G26" s="9" t="str">
        <f t="shared" si="3"/>
        <v>1001300000892336（成都银行八里庄支行）</v>
      </c>
      <c r="H26" s="9" t="s">
        <v>37</v>
      </c>
      <c r="I26" s="9" t="s">
        <v>72</v>
      </c>
      <c r="J26" s="9" t="s">
        <v>58</v>
      </c>
      <c r="K26" s="9">
        <v>300</v>
      </c>
      <c r="L26" s="9" t="s">
        <v>273</v>
      </c>
      <c r="M26" s="20" t="s">
        <v>274</v>
      </c>
      <c r="N26" s="16">
        <v>45107</v>
      </c>
      <c r="O26" s="16">
        <v>45291</v>
      </c>
      <c r="P26" s="9">
        <f>P33-N26</f>
        <v>205</v>
      </c>
      <c r="Q26" s="22">
        <f>SUM(Q27:Q47)</f>
        <v>6.55</v>
      </c>
      <c r="R26" s="9">
        <v>1.51</v>
      </c>
      <c r="S26" s="9"/>
      <c r="T26" s="9">
        <f>SUM(T27:T47)</f>
        <v>6.55</v>
      </c>
      <c r="U26" s="23">
        <v>3.85E-2</v>
      </c>
      <c r="V26" s="16"/>
      <c r="W26" s="9" t="s">
        <v>42</v>
      </c>
      <c r="X26" s="24">
        <v>0.01</v>
      </c>
      <c r="Y26" s="9">
        <f>ROUNDDOWN(IF((O26-N26+1)*K26*X26/365&gt;R26,R26,(O26-N26+1)*K26*X26/365),2)</f>
        <v>1.51</v>
      </c>
      <c r="Z26" s="9">
        <f>R26-Y26</f>
        <v>0</v>
      </c>
      <c r="AA26" s="9"/>
      <c r="AB26" s="9" t="s">
        <v>61</v>
      </c>
      <c r="AD26" s="1">
        <f>(O26-N26+1)*K26*X26/365</f>
        <v>1.52054794520548</v>
      </c>
    </row>
    <row r="27" spans="1:30" s="2" customFormat="1">
      <c r="A27" s="10"/>
      <c r="B27" s="10"/>
      <c r="C27" s="10"/>
      <c r="D27" s="10"/>
      <c r="E27" s="10"/>
      <c r="F27" s="10"/>
      <c r="G27" s="10"/>
      <c r="H27" s="10"/>
      <c r="I27" s="10"/>
      <c r="J27" s="10"/>
      <c r="K27" s="10"/>
      <c r="L27" s="10"/>
      <c r="M27" s="17"/>
      <c r="N27" s="18"/>
      <c r="O27" s="16">
        <v>45472</v>
      </c>
      <c r="P27" s="19">
        <v>45128</v>
      </c>
      <c r="Q27" s="25">
        <v>0.67</v>
      </c>
      <c r="R27" s="10"/>
      <c r="S27" s="19">
        <f>P27</f>
        <v>45128</v>
      </c>
      <c r="T27" s="25">
        <f>(S27-N26)/360*$U$26*$K$26</f>
        <v>0.67</v>
      </c>
      <c r="U27" s="25">
        <f>T27-Q27</f>
        <v>0</v>
      </c>
      <c r="V27" s="18"/>
      <c r="W27" s="10"/>
      <c r="X27" s="10"/>
      <c r="Y27" s="29">
        <f>ROUNDUP((V27-N26)*K26*X26/365,2)</f>
        <v>-370.75</v>
      </c>
      <c r="Z27" s="10"/>
      <c r="AA27" s="10"/>
      <c r="AB27" s="10"/>
    </row>
    <row r="28" spans="1:30" s="2" customFormat="1">
      <c r="A28" s="10"/>
      <c r="B28" s="10"/>
      <c r="C28" s="10"/>
      <c r="D28" s="10"/>
      <c r="E28" s="10"/>
      <c r="F28" s="10"/>
      <c r="G28" s="10"/>
      <c r="H28" s="10"/>
      <c r="I28" s="10"/>
      <c r="J28" s="10"/>
      <c r="K28" s="10"/>
      <c r="L28" s="10"/>
      <c r="M28" s="17"/>
      <c r="N28" s="18"/>
      <c r="O28" s="18"/>
      <c r="P28" s="19">
        <v>45159</v>
      </c>
      <c r="Q28" s="25">
        <v>0.99</v>
      </c>
      <c r="R28" s="10"/>
      <c r="S28" s="19">
        <f t="shared" ref="S28:S33" si="4">P28</f>
        <v>45159</v>
      </c>
      <c r="T28" s="25">
        <f>(S28-S27)*$U$26*$K$26/360</f>
        <v>0.99</v>
      </c>
      <c r="U28" s="25">
        <f t="shared" ref="U28:U33" si="5">T28-Q28</f>
        <v>0</v>
      </c>
      <c r="V28" s="10"/>
      <c r="W28" s="10"/>
      <c r="X28" s="10"/>
      <c r="Y28" s="29">
        <f>ROUNDUP((O26-V27+1)*(K26-W27)*X26/365,2)</f>
        <v>372.27</v>
      </c>
      <c r="Z28" s="10"/>
      <c r="AA28" s="10"/>
      <c r="AB28" s="10"/>
    </row>
    <row r="29" spans="1:30" s="2" customFormat="1">
      <c r="A29" s="10"/>
      <c r="B29" s="10"/>
      <c r="C29" s="10"/>
      <c r="D29" s="10"/>
      <c r="E29" s="10"/>
      <c r="F29" s="10"/>
      <c r="G29" s="10"/>
      <c r="H29" s="10"/>
      <c r="I29" s="10"/>
      <c r="J29" s="10"/>
      <c r="K29" s="10"/>
      <c r="L29" s="10"/>
      <c r="M29" s="17"/>
      <c r="N29" s="18"/>
      <c r="O29" s="18"/>
      <c r="P29" s="19">
        <v>45190</v>
      </c>
      <c r="Q29" s="25">
        <v>0.99</v>
      </c>
      <c r="R29" s="10"/>
      <c r="S29" s="19">
        <f t="shared" si="4"/>
        <v>45190</v>
      </c>
      <c r="T29" s="25">
        <f t="shared" ref="T29:T33" si="6">(S29-S28)*$U$26*$K$26/360</f>
        <v>0.99</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45220</v>
      </c>
      <c r="Q30" s="25">
        <v>0.96</v>
      </c>
      <c r="R30" s="10"/>
      <c r="S30" s="19">
        <f t="shared" si="4"/>
        <v>45220</v>
      </c>
      <c r="T30" s="25">
        <f t="shared" si="6"/>
        <v>0.96</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45251</v>
      </c>
      <c r="Q31" s="25">
        <v>0.99</v>
      </c>
      <c r="R31" s="10"/>
      <c r="S31" s="19">
        <f t="shared" si="4"/>
        <v>45251</v>
      </c>
      <c r="T31" s="25">
        <f t="shared" si="6"/>
        <v>0.99</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45281</v>
      </c>
      <c r="Q32" s="25">
        <v>0.96</v>
      </c>
      <c r="R32" s="10"/>
      <c r="S32" s="19">
        <f t="shared" si="4"/>
        <v>45281</v>
      </c>
      <c r="T32" s="25">
        <f t="shared" si="6"/>
        <v>0.96</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45312</v>
      </c>
      <c r="Q33" s="25">
        <v>0.99</v>
      </c>
      <c r="R33" s="10"/>
      <c r="S33" s="19">
        <f t="shared" si="4"/>
        <v>45312</v>
      </c>
      <c r="T33" s="25">
        <f t="shared" si="6"/>
        <v>0.99</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成都富元辰科技有限公司</v>
      </c>
      <c r="C48" s="9" t="str">
        <f t="shared" ref="C48:G48" si="7">C26</f>
        <v>成都高新技术产业开发区市场监督管理局</v>
      </c>
      <c r="D48" s="9" t="str">
        <f t="shared" si="7"/>
        <v>91510100MA61XWLW1M</v>
      </c>
      <c r="E48" s="9" t="str">
        <f t="shared" si="7"/>
        <v>民营</v>
      </c>
      <c r="F48" s="9" t="str">
        <f t="shared" si="7"/>
        <v>成都高新区税务局西园税务所</v>
      </c>
      <c r="G48" s="9" t="str">
        <f t="shared" si="7"/>
        <v>1001300000892336（成都银行八里庄支行）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成都富元辰科技有限公司</v>
      </c>
      <c r="C70" s="9" t="str">
        <f t="shared" ref="C70:G70" si="10">C48</f>
        <v>成都高新技术产业开发区市场监督管理局</v>
      </c>
      <c r="D70" s="9" t="str">
        <f t="shared" si="10"/>
        <v>91510100MA61XWLW1M</v>
      </c>
      <c r="E70" s="9" t="str">
        <f t="shared" si="10"/>
        <v>民营</v>
      </c>
      <c r="F70" s="9" t="str">
        <f t="shared" si="10"/>
        <v>成都高新区税务局西园税务所</v>
      </c>
      <c r="G70" s="9" t="str">
        <f t="shared" si="10"/>
        <v>1001300000892336（成都银行八里庄支行）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成都富元辰科技有限公司</v>
      </c>
      <c r="C92" s="9" t="str">
        <f t="shared" ref="C92:G92" si="11">C70</f>
        <v>成都高新技术产业开发区市场监督管理局</v>
      </c>
      <c r="D92" s="9" t="str">
        <f t="shared" si="11"/>
        <v>91510100MA61XWLW1M</v>
      </c>
      <c r="E92" s="9" t="str">
        <f t="shared" si="11"/>
        <v>民营</v>
      </c>
      <c r="F92" s="9" t="str">
        <f t="shared" si="11"/>
        <v>成都高新区税务局西园税务所</v>
      </c>
      <c r="G92" s="9" t="str">
        <f t="shared" si="11"/>
        <v>1001300000892336（成都银行八里庄支行）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601</v>
      </c>
      <c r="L114" s="9"/>
      <c r="M114" s="20"/>
      <c r="N114" s="16"/>
      <c r="O114" s="16"/>
      <c r="P114" s="9"/>
      <c r="Q114" s="9"/>
      <c r="R114" s="9">
        <f>R92+R70+R48+R26++R4</f>
        <v>6.02</v>
      </c>
      <c r="S114" s="9"/>
      <c r="T114" s="9"/>
      <c r="U114" s="9"/>
      <c r="V114" s="9"/>
      <c r="W114" s="9"/>
      <c r="X114" s="9"/>
      <c r="Y114" s="9">
        <f>Y92+Y70+Y48+Y26++Y4</f>
        <v>5.82</v>
      </c>
      <c r="Z114" s="9"/>
      <c r="AA114" s="9"/>
      <c r="AB114" s="9"/>
    </row>
    <row r="115" spans="1:28">
      <c r="I115" t="s">
        <v>49</v>
      </c>
      <c r="K115">
        <f>IF(K114&gt;3000,K116,K114)</f>
        <v>601</v>
      </c>
    </row>
    <row r="116" spans="1:28">
      <c r="K116" t="s">
        <v>50</v>
      </c>
    </row>
  </sheetData>
  <autoFilter ref="A3:AD16" xr:uid="{00000000-0009-0000-0000-000018000000}">
    <filterColumn colId="0">
      <colorFilter dxfId="6"/>
    </filterColumn>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D116"/>
  <sheetViews>
    <sheetView topLeftCell="H1" zoomScale="70" zoomScaleNormal="70" workbookViewId="0">
      <pane ySplit="3" topLeftCell="A4" activePane="bottomLeft" state="frozen"/>
      <selection pane="bottomLeft" activeCell="AA122" sqref="AA122"/>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成都戎星科技有限公司审计明细表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275</v>
      </c>
      <c r="C4" s="9" t="s">
        <v>32</v>
      </c>
      <c r="D4" s="9" t="s">
        <v>276</v>
      </c>
      <c r="E4" s="9" t="s">
        <v>34</v>
      </c>
      <c r="F4" s="9" t="s">
        <v>277</v>
      </c>
      <c r="G4" s="9" t="s">
        <v>278</v>
      </c>
      <c r="H4" s="9" t="s">
        <v>71</v>
      </c>
      <c r="I4" s="9" t="s">
        <v>279</v>
      </c>
      <c r="J4" s="9" t="s">
        <v>168</v>
      </c>
      <c r="K4" s="9">
        <v>1000</v>
      </c>
      <c r="L4" s="9" t="s">
        <v>280</v>
      </c>
      <c r="M4" s="20" t="s">
        <v>281</v>
      </c>
      <c r="N4" s="16">
        <v>45195</v>
      </c>
      <c r="O4" s="16">
        <v>45291</v>
      </c>
      <c r="P4" s="9">
        <f>P8-N4</f>
        <v>117</v>
      </c>
      <c r="Q4" s="22">
        <f>SUM(Q5:Q25)</f>
        <v>12.2</v>
      </c>
      <c r="R4" s="22">
        <v>3.95</v>
      </c>
      <c r="S4" s="9"/>
      <c r="T4" s="22">
        <f>SUM(T5:T25)</f>
        <v>12.19</v>
      </c>
      <c r="U4" s="23">
        <v>3.7499999999999999E-2</v>
      </c>
      <c r="V4" s="16"/>
      <c r="W4" s="9" t="s">
        <v>42</v>
      </c>
      <c r="X4" s="24">
        <v>1.4999999999999999E-2</v>
      </c>
      <c r="Y4" s="9">
        <f>ROUNDDOWN(IF((O4-N4+1)*K4*X4/365&gt;R4,R4,(O4-N4+1)*K4*X4/365),2)</f>
        <v>3.95</v>
      </c>
      <c r="Z4" s="22">
        <f>R4-Y4</f>
        <v>0</v>
      </c>
      <c r="AA4" s="22"/>
      <c r="AB4" s="9" t="s">
        <v>61</v>
      </c>
      <c r="AD4" s="28">
        <f>(O4-N4+1)*K4*X4/365</f>
        <v>3.9863</v>
      </c>
    </row>
    <row r="5" spans="1:30" s="2" customFormat="1">
      <c r="A5" s="10"/>
      <c r="B5" s="10"/>
      <c r="C5" s="10"/>
      <c r="D5" s="10"/>
      <c r="E5" s="10"/>
      <c r="F5" s="10"/>
      <c r="G5" s="10"/>
      <c r="H5" s="10"/>
      <c r="I5" s="10"/>
      <c r="J5" s="10"/>
      <c r="K5" s="10"/>
      <c r="L5" s="10"/>
      <c r="M5" s="17"/>
      <c r="N5" s="18"/>
      <c r="O5" s="16">
        <v>45560</v>
      </c>
      <c r="P5" s="18">
        <v>45220</v>
      </c>
      <c r="Q5" s="25">
        <f>1.32*2</f>
        <v>2.64</v>
      </c>
      <c r="R5" s="10"/>
      <c r="S5" s="19">
        <f>P5</f>
        <v>45220</v>
      </c>
      <c r="T5" s="25">
        <f>(S5-N4)/360*$U$4*$K$4</f>
        <v>2.6</v>
      </c>
      <c r="U5" s="25">
        <f>T5-Q5</f>
        <v>-0.04</v>
      </c>
      <c r="V5" s="18"/>
      <c r="W5" s="10"/>
      <c r="X5" s="10"/>
      <c r="Y5" s="10">
        <f>ROUNDDOWN((V5-N4)*K4*X4/365,2)</f>
        <v>-1857.32</v>
      </c>
      <c r="Z5" s="10"/>
      <c r="AA5" s="10"/>
      <c r="AB5" s="10"/>
    </row>
    <row r="6" spans="1:30" s="2" customFormat="1">
      <c r="A6" s="10"/>
      <c r="B6" s="10"/>
      <c r="C6" s="10"/>
      <c r="D6" s="10"/>
      <c r="E6" s="10"/>
      <c r="F6" s="10"/>
      <c r="G6" s="10"/>
      <c r="H6" s="10"/>
      <c r="I6" s="10"/>
      <c r="J6" s="10"/>
      <c r="K6" s="10"/>
      <c r="L6" s="10"/>
      <c r="M6" s="17"/>
      <c r="N6" s="18"/>
      <c r="O6" s="18"/>
      <c r="P6" s="18">
        <v>45251</v>
      </c>
      <c r="Q6" s="25">
        <f>1.61*2</f>
        <v>3.22</v>
      </c>
      <c r="R6" s="10"/>
      <c r="S6" s="19">
        <f t="shared" ref="S6:S8" si="0">P6</f>
        <v>45251</v>
      </c>
      <c r="T6" s="25">
        <f>(S6-S5)*$K$4*$U$4/360</f>
        <v>3.23</v>
      </c>
      <c r="U6" s="25">
        <f>T6-Q6</f>
        <v>0.01</v>
      </c>
      <c r="V6" s="10"/>
      <c r="W6" s="10"/>
      <c r="X6" s="10"/>
      <c r="Y6" s="10"/>
      <c r="Z6" s="10"/>
      <c r="AA6" s="10"/>
      <c r="AB6" s="10"/>
    </row>
    <row r="7" spans="1:30" s="2" customFormat="1">
      <c r="A7" s="10"/>
      <c r="B7" s="10"/>
      <c r="C7" s="10"/>
      <c r="D7" s="10"/>
      <c r="E7" s="10"/>
      <c r="F7" s="10"/>
      <c r="G7" s="10"/>
      <c r="H7" s="10"/>
      <c r="I7" s="10"/>
      <c r="J7" s="10"/>
      <c r="K7" s="10"/>
      <c r="L7" s="10"/>
      <c r="M7" s="17"/>
      <c r="N7" s="18"/>
      <c r="O7" s="18"/>
      <c r="P7" s="18">
        <v>45281</v>
      </c>
      <c r="Q7" s="25">
        <f>1.56*2</f>
        <v>3.12</v>
      </c>
      <c r="R7" s="10"/>
      <c r="S7" s="19">
        <f t="shared" si="0"/>
        <v>45281</v>
      </c>
      <c r="T7" s="25">
        <f t="shared" ref="T7:T8" si="1">(S7-S6)*$K$4*$U$4/360</f>
        <v>3.13</v>
      </c>
      <c r="U7" s="25">
        <f t="shared" ref="U7:U8" si="2">T7-Q7</f>
        <v>0.01</v>
      </c>
      <c r="V7" s="10"/>
      <c r="W7" s="10"/>
      <c r="X7" s="10"/>
      <c r="Y7" s="10"/>
      <c r="Z7" s="10"/>
      <c r="AA7" s="10"/>
      <c r="AB7" s="10"/>
    </row>
    <row r="8" spans="1:30" s="2" customFormat="1">
      <c r="A8" s="10"/>
      <c r="B8" s="10"/>
      <c r="C8" s="10"/>
      <c r="D8" s="10"/>
      <c r="E8" s="10"/>
      <c r="F8" s="10"/>
      <c r="G8" s="10"/>
      <c r="H8" s="10"/>
      <c r="I8" s="10"/>
      <c r="J8" s="10"/>
      <c r="K8" s="10"/>
      <c r="L8" s="10"/>
      <c r="M8" s="17"/>
      <c r="N8" s="18"/>
      <c r="O8" s="18"/>
      <c r="P8" s="18">
        <v>45312</v>
      </c>
      <c r="Q8" s="25">
        <f>1.61*2</f>
        <v>3.22</v>
      </c>
      <c r="R8" s="10"/>
      <c r="S8" s="19">
        <f t="shared" si="0"/>
        <v>45312</v>
      </c>
      <c r="T8" s="25">
        <f t="shared" si="1"/>
        <v>3.23</v>
      </c>
      <c r="U8" s="25">
        <f t="shared" si="2"/>
        <v>0.01</v>
      </c>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成都戎星科技有限公司</v>
      </c>
      <c r="C26" s="9" t="str">
        <f t="shared" ref="C26:G26" si="3">C4</f>
        <v>成都高新技术产业开发区市场监督管理局</v>
      </c>
      <c r="D26" s="9" t="str">
        <f t="shared" si="3"/>
        <v>91510100343121066D</v>
      </c>
      <c r="E26" s="9" t="str">
        <f t="shared" si="3"/>
        <v>私营企业</v>
      </c>
      <c r="F26" s="9" t="str">
        <f t="shared" si="3"/>
        <v>成都高新区税务局第二税务所</v>
      </c>
      <c r="G26" s="9" t="str">
        <f t="shared" si="3"/>
        <v>成都银行武侯新城支行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成都戎星科技有限公司</v>
      </c>
      <c r="C48" s="9" t="str">
        <f t="shared" ref="C48:G48" si="7">C26</f>
        <v>成都高新技术产业开发区市场监督管理局</v>
      </c>
      <c r="D48" s="9" t="str">
        <f t="shared" si="7"/>
        <v>91510100343121066D</v>
      </c>
      <c r="E48" s="9" t="str">
        <f t="shared" si="7"/>
        <v>私营企业</v>
      </c>
      <c r="F48" s="9" t="str">
        <f t="shared" si="7"/>
        <v>成都高新区税务局第二税务所</v>
      </c>
      <c r="G48" s="9" t="str">
        <f t="shared" si="7"/>
        <v>成都银行武侯新城支行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成都戎星科技有限公司</v>
      </c>
      <c r="C70" s="9" t="str">
        <f t="shared" ref="C70:G70" si="10">C48</f>
        <v>成都高新技术产业开发区市场监督管理局</v>
      </c>
      <c r="D70" s="9" t="str">
        <f t="shared" si="10"/>
        <v>91510100343121066D</v>
      </c>
      <c r="E70" s="9" t="str">
        <f t="shared" si="10"/>
        <v>私营企业</v>
      </c>
      <c r="F70" s="9" t="str">
        <f t="shared" si="10"/>
        <v>成都高新区税务局第二税务所</v>
      </c>
      <c r="G70" s="9" t="str">
        <f t="shared" si="10"/>
        <v>成都银行武侯新城支行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成都戎星科技有限公司</v>
      </c>
      <c r="C92" s="9" t="str">
        <f t="shared" ref="C92:G92" si="11">C70</f>
        <v>成都高新技术产业开发区市场监督管理局</v>
      </c>
      <c r="D92" s="9" t="str">
        <f t="shared" si="11"/>
        <v>91510100343121066D</v>
      </c>
      <c r="E92" s="9" t="str">
        <f t="shared" si="11"/>
        <v>私营企业</v>
      </c>
      <c r="F92" s="9" t="str">
        <f t="shared" si="11"/>
        <v>成都高新区税务局第二税务所</v>
      </c>
      <c r="G92" s="9" t="str">
        <f t="shared" si="11"/>
        <v>成都银行武侯新城支行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3.95</v>
      </c>
      <c r="S114" s="9"/>
      <c r="T114" s="9"/>
      <c r="U114" s="9"/>
      <c r="V114" s="9"/>
      <c r="W114" s="9"/>
      <c r="X114" s="9"/>
      <c r="Y114" s="9">
        <f>Y92+Y70+Y48+Y26++Y4</f>
        <v>3.95</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D116"/>
  <sheetViews>
    <sheetView topLeftCell="G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成都路维光电有限公司审计明细表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21.5" customHeight="1">
      <c r="A4" s="9">
        <v>1</v>
      </c>
      <c r="B4" s="9" t="s">
        <v>282</v>
      </c>
      <c r="C4" s="9" t="s">
        <v>32</v>
      </c>
      <c r="D4" s="9" t="s">
        <v>283</v>
      </c>
      <c r="E4" s="9" t="s">
        <v>101</v>
      </c>
      <c r="F4" s="9" t="s">
        <v>201</v>
      </c>
      <c r="G4" s="9" t="s">
        <v>284</v>
      </c>
      <c r="H4" s="9" t="s">
        <v>71</v>
      </c>
      <c r="I4" s="9" t="s">
        <v>285</v>
      </c>
      <c r="J4" s="9" t="s">
        <v>58</v>
      </c>
      <c r="K4" s="9">
        <v>1000</v>
      </c>
      <c r="L4" s="9" t="s">
        <v>286</v>
      </c>
      <c r="M4" s="20" t="s">
        <v>287</v>
      </c>
      <c r="N4" s="16">
        <v>45226</v>
      </c>
      <c r="O4" s="16">
        <v>45291</v>
      </c>
      <c r="P4" s="9">
        <f>P7-N4</f>
        <v>86</v>
      </c>
      <c r="Q4" s="22">
        <f>SUM(Q5:Q25)</f>
        <v>7.88</v>
      </c>
      <c r="R4" s="22">
        <v>2.671233</v>
      </c>
      <c r="S4" s="9"/>
      <c r="T4" s="22">
        <f>SUM(T5:T25)</f>
        <v>7.88</v>
      </c>
      <c r="U4" s="23">
        <v>3.3000000000000002E-2</v>
      </c>
      <c r="V4" s="16"/>
      <c r="W4" s="9" t="s">
        <v>42</v>
      </c>
      <c r="X4" s="24">
        <v>1.4999999999999999E-2</v>
      </c>
      <c r="Y4" s="9">
        <f>ROUNDDOWN(IF((O4-N4+1)*K4*X4/365&gt;R4,R4,(O4-N4+1)*K4*X4/365),2)</f>
        <v>2.67</v>
      </c>
      <c r="Z4" s="22">
        <f>R4-Y4</f>
        <v>0</v>
      </c>
      <c r="AA4" s="22"/>
      <c r="AB4" s="9" t="s">
        <v>178</v>
      </c>
      <c r="AD4" s="28">
        <f>(O4-N4+1)*K4*X4/365</f>
        <v>2.7122999999999999</v>
      </c>
    </row>
    <row r="5" spans="1:30" s="2" customFormat="1">
      <c r="A5" s="10"/>
      <c r="B5" s="10"/>
      <c r="C5" s="10"/>
      <c r="D5" s="10"/>
      <c r="E5" s="10"/>
      <c r="F5" s="10"/>
      <c r="G5" s="10"/>
      <c r="H5" s="10"/>
      <c r="I5" s="10"/>
      <c r="J5" s="10"/>
      <c r="K5" s="10"/>
      <c r="L5" s="10"/>
      <c r="M5" s="17"/>
      <c r="N5" s="18"/>
      <c r="O5" s="16">
        <v>45590</v>
      </c>
      <c r="P5" s="19">
        <v>45251</v>
      </c>
      <c r="Q5" s="25">
        <v>2.29</v>
      </c>
      <c r="R5" s="10"/>
      <c r="S5" s="19">
        <f>P5</f>
        <v>45251</v>
      </c>
      <c r="T5" s="25">
        <f>(S5-N4)/360*$U$4*$K$4</f>
        <v>2.29</v>
      </c>
      <c r="U5" s="25">
        <f>T5-Q5</f>
        <v>0</v>
      </c>
      <c r="V5" s="18"/>
      <c r="W5" s="10"/>
      <c r="X5" s="10"/>
      <c r="Y5" s="10">
        <f>ROUNDDOWN((V5-N4)*K4*X4/365,2)</f>
        <v>-1858.6</v>
      </c>
      <c r="Z5" s="10"/>
      <c r="AA5" s="10"/>
      <c r="AB5" s="10"/>
    </row>
    <row r="6" spans="1:30" s="2" customFormat="1">
      <c r="A6" s="10"/>
      <c r="B6" s="10"/>
      <c r="C6" s="10"/>
      <c r="D6" s="10"/>
      <c r="E6" s="10"/>
      <c r="F6" s="10"/>
      <c r="G6" s="10"/>
      <c r="H6" s="10"/>
      <c r="I6" s="10"/>
      <c r="J6" s="10"/>
      <c r="K6" s="10"/>
      <c r="L6" s="10"/>
      <c r="M6" s="17"/>
      <c r="N6" s="18"/>
      <c r="O6" s="18"/>
      <c r="P6" s="19">
        <v>45281</v>
      </c>
      <c r="Q6" s="25">
        <v>2.75</v>
      </c>
      <c r="R6" s="10"/>
      <c r="S6" s="19">
        <f t="shared" ref="S6:S7" si="0">P6</f>
        <v>45281</v>
      </c>
      <c r="T6" s="25">
        <f>(S6-S5)*$K$4*$U$4/360</f>
        <v>2.75</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45312</v>
      </c>
      <c r="Q7" s="25">
        <v>2.84</v>
      </c>
      <c r="R7" s="10"/>
      <c r="S7" s="19">
        <f t="shared" si="0"/>
        <v>45312</v>
      </c>
      <c r="T7" s="25">
        <f t="shared" ref="T7" si="1">(S7-S6)*$K$4*$U$4/360</f>
        <v>2.84</v>
      </c>
      <c r="U7" s="25">
        <f t="shared" ref="U7" si="2">T7-Q7</f>
        <v>0</v>
      </c>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23.75" hidden="1" customHeight="1">
      <c r="A26" s="9">
        <v>2</v>
      </c>
      <c r="B26" s="9" t="str">
        <f>B4</f>
        <v>成都路维光电有限公司</v>
      </c>
      <c r="C26" s="9" t="str">
        <f t="shared" ref="C26:G26" si="3">C4</f>
        <v>成都高新技术产业开发区市场监督管理局</v>
      </c>
      <c r="D26" s="9" t="str">
        <f t="shared" si="3"/>
        <v>91510100MA6CR2PD7B</v>
      </c>
      <c r="E26" s="9" t="str">
        <f t="shared" si="3"/>
        <v>民营</v>
      </c>
      <c r="F26" s="9" t="str">
        <f t="shared" si="3"/>
        <v>成都高新区税务局</v>
      </c>
      <c r="G26" s="9" t="str">
        <f t="shared" si="3"/>
        <v>22808801040022548（中国农业银行成都高新技术产业开发区支行）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成都路维光电有限公司</v>
      </c>
      <c r="C48" s="9" t="str">
        <f t="shared" ref="C48:G48" si="7">C26</f>
        <v>成都高新技术产业开发区市场监督管理局</v>
      </c>
      <c r="D48" s="9" t="str">
        <f t="shared" si="7"/>
        <v>91510100MA6CR2PD7B</v>
      </c>
      <c r="E48" s="9" t="str">
        <f t="shared" si="7"/>
        <v>民营</v>
      </c>
      <c r="F48" s="9" t="str">
        <f t="shared" si="7"/>
        <v>成都高新区税务局</v>
      </c>
      <c r="G48" s="9" t="str">
        <f t="shared" si="7"/>
        <v>22808801040022548（中国农业银行成都高新技术产业开发区支行）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成都路维光电有限公司</v>
      </c>
      <c r="C70" s="9" t="str">
        <f t="shared" ref="C70:G70" si="10">C48</f>
        <v>成都高新技术产业开发区市场监督管理局</v>
      </c>
      <c r="D70" s="9" t="str">
        <f t="shared" si="10"/>
        <v>91510100MA6CR2PD7B</v>
      </c>
      <c r="E70" s="9" t="str">
        <f t="shared" si="10"/>
        <v>民营</v>
      </c>
      <c r="F70" s="9" t="str">
        <f t="shared" si="10"/>
        <v>成都高新区税务局</v>
      </c>
      <c r="G70" s="9" t="str">
        <f t="shared" si="10"/>
        <v>22808801040022548（中国农业银行成都高新技术产业开发区支行）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成都路维光电有限公司</v>
      </c>
      <c r="C92" s="9" t="str">
        <f t="shared" ref="C92:G92" si="11">C70</f>
        <v>成都高新技术产业开发区市场监督管理局</v>
      </c>
      <c r="D92" s="9" t="str">
        <f t="shared" si="11"/>
        <v>91510100MA6CR2PD7B</v>
      </c>
      <c r="E92" s="9" t="str">
        <f t="shared" si="11"/>
        <v>民营</v>
      </c>
      <c r="F92" s="9" t="str">
        <f t="shared" si="11"/>
        <v>成都高新区税务局</v>
      </c>
      <c r="G92" s="9" t="str">
        <f t="shared" si="11"/>
        <v>22808801040022548（中国农业银行成都高新技术产业开发区支行）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22">
        <f>R92+R70+R48+R26+R4</f>
        <v>2.67</v>
      </c>
      <c r="S114" s="9"/>
      <c r="T114" s="9"/>
      <c r="U114" s="9"/>
      <c r="V114" s="9"/>
      <c r="W114" s="9"/>
      <c r="X114" s="9"/>
      <c r="Y114" s="9">
        <f>Y92+Y70+Y48+Y26++Y4</f>
        <v>2.67</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116"/>
  <sheetViews>
    <sheetView topLeftCell="I1" zoomScale="70" zoomScaleNormal="70" workbookViewId="0">
      <pane ySplit="3" topLeftCell="A4" activePane="bottomLeft" state="frozen"/>
      <selection pane="bottomLeft" activeCell="AD5" sqref="AD5"/>
    </sheetView>
  </sheetViews>
  <sheetFormatPr defaultColWidth="9" defaultRowHeight="14"/>
  <cols>
    <col min="7" max="7" width="9" customWidth="1"/>
    <col min="13" max="13" width="12.25" style="3" customWidth="1"/>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成都中科华微电子有限公司审计明细表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32.75" customHeight="1">
      <c r="A4" s="9">
        <v>1</v>
      </c>
      <c r="B4" s="9" t="s">
        <v>288</v>
      </c>
      <c r="C4" s="9" t="s">
        <v>289</v>
      </c>
      <c r="D4" s="9" t="s">
        <v>290</v>
      </c>
      <c r="E4" s="9" t="s">
        <v>226</v>
      </c>
      <c r="F4" s="9" t="s">
        <v>291</v>
      </c>
      <c r="G4" s="9" t="s">
        <v>292</v>
      </c>
      <c r="H4" s="9" t="s">
        <v>71</v>
      </c>
      <c r="I4" s="9" t="s">
        <v>293</v>
      </c>
      <c r="J4" s="9" t="s">
        <v>294</v>
      </c>
      <c r="K4" s="9">
        <v>800</v>
      </c>
      <c r="L4" s="9" t="s">
        <v>295</v>
      </c>
      <c r="M4" s="20" t="s">
        <v>296</v>
      </c>
      <c r="N4" s="15">
        <v>44916</v>
      </c>
      <c r="O4" s="16">
        <v>45291</v>
      </c>
      <c r="P4" s="9">
        <f>P17-N4</f>
        <v>395</v>
      </c>
      <c r="Q4" s="22">
        <f>SUM(Q5:Q25)</f>
        <v>30.32</v>
      </c>
      <c r="R4" s="22">
        <v>11.69</v>
      </c>
      <c r="S4" s="9"/>
      <c r="T4" s="22">
        <f>SUM(T5:T25)</f>
        <v>31.99</v>
      </c>
      <c r="U4" s="23">
        <v>3.6499999999999998E-2</v>
      </c>
      <c r="V4" s="16"/>
      <c r="W4" s="9" t="s">
        <v>297</v>
      </c>
      <c r="X4" s="24">
        <v>1.4999999999999999E-2</v>
      </c>
      <c r="Y4" s="9">
        <f>ROUNDDOWN(IF((O4-N4+1)*K4*X4/365&gt;R4,R4,(O4-N4+1)*K4*X4/365),2)</f>
        <v>11.69</v>
      </c>
      <c r="Z4" s="22">
        <f>R4-Y4</f>
        <v>0</v>
      </c>
      <c r="AA4" s="22"/>
      <c r="AB4" s="9" t="s">
        <v>298</v>
      </c>
      <c r="AD4" s="28">
        <f>(O4-N4+1)*K4*X4/365</f>
        <v>12.361599999999999</v>
      </c>
    </row>
    <row r="5" spans="1:30" s="2" customFormat="1" ht="70">
      <c r="A5" s="10"/>
      <c r="B5" s="10"/>
      <c r="C5" s="10"/>
      <c r="D5" s="10"/>
      <c r="E5" s="10"/>
      <c r="F5" s="10"/>
      <c r="G5" s="10"/>
      <c r="H5" s="10"/>
      <c r="I5" s="10"/>
      <c r="J5" s="10"/>
      <c r="K5" s="10"/>
      <c r="L5" s="10"/>
      <c r="M5" s="17" t="s">
        <v>299</v>
      </c>
      <c r="N5" s="18"/>
      <c r="O5" s="16">
        <v>45646</v>
      </c>
      <c r="P5" s="19">
        <v>44946</v>
      </c>
      <c r="Q5" s="25">
        <f>0.51+0.91</f>
        <v>1.42</v>
      </c>
      <c r="R5" s="10"/>
      <c r="S5" s="19">
        <f>P5</f>
        <v>44946</v>
      </c>
      <c r="T5" s="25">
        <f>(S5-N4)/360*$U$4*$K$4</f>
        <v>2.4300000000000002</v>
      </c>
      <c r="U5" s="25">
        <f>T5-Q5</f>
        <v>1.01</v>
      </c>
      <c r="V5" s="18">
        <v>45087</v>
      </c>
      <c r="W5" s="10">
        <v>25</v>
      </c>
      <c r="X5" s="10"/>
      <c r="Y5" s="10">
        <f>ROUNDDOWN((V5-N4)*K4*X4/365,2)</f>
        <v>5.62</v>
      </c>
      <c r="Z5" s="10"/>
      <c r="AA5" s="10"/>
      <c r="AB5" s="10"/>
    </row>
    <row r="6" spans="1:30" s="2" customFormat="1">
      <c r="A6" s="10"/>
      <c r="B6" s="10"/>
      <c r="C6" s="10"/>
      <c r="D6" s="10"/>
      <c r="E6" s="10"/>
      <c r="F6" s="10"/>
      <c r="G6" s="10"/>
      <c r="H6" s="10"/>
      <c r="I6" s="10"/>
      <c r="J6" s="10"/>
      <c r="K6" s="10"/>
      <c r="L6" s="10"/>
      <c r="M6" s="17"/>
      <c r="N6" s="18"/>
      <c r="O6" s="18"/>
      <c r="P6" s="19">
        <v>44977</v>
      </c>
      <c r="Q6" s="25">
        <f>1.57+0.94</f>
        <v>2.5099999999999998</v>
      </c>
      <c r="R6" s="10"/>
      <c r="S6" s="19">
        <f t="shared" ref="S6:S17" si="0">P6</f>
        <v>44977</v>
      </c>
      <c r="T6" s="25">
        <f>(S6-S5)*$K$4*$U$4/360</f>
        <v>2.5099999999999998</v>
      </c>
      <c r="U6" s="25">
        <f>T6-Q6</f>
        <v>0</v>
      </c>
      <c r="V6" s="18">
        <v>45270</v>
      </c>
      <c r="W6" s="10">
        <v>25</v>
      </c>
      <c r="X6" s="10"/>
      <c r="Y6" s="10">
        <f>ROUNDDOWN((V6-V5)*(K4-W5)*X4/365,2)</f>
        <v>5.82</v>
      </c>
      <c r="Z6" s="10"/>
      <c r="AA6" s="10"/>
      <c r="AB6" s="10"/>
    </row>
    <row r="7" spans="1:30" s="2" customFormat="1">
      <c r="A7" s="10"/>
      <c r="B7" s="10"/>
      <c r="C7" s="10"/>
      <c r="D7" s="10"/>
      <c r="E7" s="10"/>
      <c r="F7" s="10"/>
      <c r="G7" s="10"/>
      <c r="H7" s="10"/>
      <c r="I7" s="10"/>
      <c r="J7" s="10"/>
      <c r="K7" s="10"/>
      <c r="L7" s="10"/>
      <c r="M7" s="17"/>
      <c r="N7" s="18"/>
      <c r="O7" s="18"/>
      <c r="P7" s="19">
        <v>45005</v>
      </c>
      <c r="Q7" s="25">
        <f>0.85+1.42</f>
        <v>2.27</v>
      </c>
      <c r="R7" s="10"/>
      <c r="S7" s="19">
        <f t="shared" si="0"/>
        <v>45005</v>
      </c>
      <c r="T7" s="25">
        <f t="shared" ref="T7:T17" si="1">(S7-S6)*$K$4*$U$4/360</f>
        <v>2.27</v>
      </c>
      <c r="U7" s="25">
        <f t="shared" ref="U7:U17" si="2">T7-Q7</f>
        <v>0</v>
      </c>
      <c r="V7" s="18">
        <v>45291</v>
      </c>
      <c r="W7" s="10">
        <f>K4-W5-W6</f>
        <v>750</v>
      </c>
      <c r="X7" s="10"/>
      <c r="Y7" s="10">
        <f>ROUNDDOWN((V7-V6)*(K4-W6-W5)*X4/365,2)</f>
        <v>0.64</v>
      </c>
      <c r="Z7" s="10"/>
      <c r="AA7" s="10"/>
      <c r="AB7" s="10"/>
    </row>
    <row r="8" spans="1:30" s="2" customFormat="1">
      <c r="A8" s="10"/>
      <c r="B8" s="10"/>
      <c r="C8" s="10"/>
      <c r="D8" s="10"/>
      <c r="E8" s="10"/>
      <c r="F8" s="10"/>
      <c r="G8" s="10"/>
      <c r="H8" s="10"/>
      <c r="I8" s="10"/>
      <c r="J8" s="10"/>
      <c r="K8" s="10"/>
      <c r="L8" s="10"/>
      <c r="M8" s="17"/>
      <c r="N8" s="18"/>
      <c r="O8" s="18"/>
      <c r="P8" s="19">
        <v>45036</v>
      </c>
      <c r="Q8" s="25">
        <f>0.94+1.57</f>
        <v>2.5099999999999998</v>
      </c>
      <c r="R8" s="10"/>
      <c r="S8" s="19">
        <f t="shared" si="0"/>
        <v>45036</v>
      </c>
      <c r="T8" s="25">
        <f t="shared" si="1"/>
        <v>2.5099999999999998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45066</v>
      </c>
      <c r="Q9" s="25">
        <f>0.9+1.52</f>
        <v>2.42</v>
      </c>
      <c r="R9" s="10"/>
      <c r="S9" s="19">
        <f t="shared" si="0"/>
        <v>45066</v>
      </c>
      <c r="T9" s="25">
        <f t="shared" si="1"/>
        <v>2.4300000000000002</v>
      </c>
      <c r="U9" s="25">
        <f t="shared" si="2"/>
        <v>0.01</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45097</v>
      </c>
      <c r="Q10" s="25">
        <f>1.57+0.92</f>
        <v>2.4900000000000002</v>
      </c>
      <c r="R10" s="10"/>
      <c r="S10" s="19">
        <f t="shared" si="0"/>
        <v>45097</v>
      </c>
      <c r="T10" s="25">
        <f t="shared" si="1"/>
        <v>2.5099999999999998</v>
      </c>
      <c r="U10" s="25">
        <f t="shared" si="2"/>
        <v>0.02</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45127</v>
      </c>
      <c r="Q11" s="25">
        <f>0.84+1.52</f>
        <v>2.36</v>
      </c>
      <c r="R11" s="10"/>
      <c r="S11" s="19">
        <f t="shared" si="0"/>
        <v>45127</v>
      </c>
      <c r="T11" s="25">
        <f t="shared" si="1"/>
        <v>2.4300000000000002</v>
      </c>
      <c r="U11" s="25">
        <f t="shared" si="2"/>
        <v>7.0000000000000007E-2</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45158</v>
      </c>
      <c r="Q12" s="25">
        <f>1.57+0.86</f>
        <v>2.4300000000000002</v>
      </c>
      <c r="R12" s="10"/>
      <c r="S12" s="19">
        <f t="shared" si="0"/>
        <v>45158</v>
      </c>
      <c r="T12" s="25">
        <f t="shared" si="1"/>
        <v>2.5099999999999998</v>
      </c>
      <c r="U12" s="25">
        <f t="shared" si="2"/>
        <v>0.08</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45189</v>
      </c>
      <c r="Q13" s="25">
        <f>0.86+1.57</f>
        <v>2.4300000000000002</v>
      </c>
      <c r="R13" s="10"/>
      <c r="S13" s="19">
        <f t="shared" si="0"/>
        <v>45189</v>
      </c>
      <c r="T13" s="25">
        <f t="shared" si="1"/>
        <v>2.5099999999999998</v>
      </c>
      <c r="U13" s="25">
        <f t="shared" si="2"/>
        <v>0.08</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45219</v>
      </c>
      <c r="Q14" s="25">
        <f>1.52+0.84</f>
        <v>2.36</v>
      </c>
      <c r="R14" s="10"/>
      <c r="S14" s="19">
        <f t="shared" si="0"/>
        <v>45219</v>
      </c>
      <c r="T14" s="25">
        <f t="shared" si="1"/>
        <v>2.4300000000000002</v>
      </c>
      <c r="U14" s="25">
        <f t="shared" si="2"/>
        <v>7.0000000000000007E-2</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45250</v>
      </c>
      <c r="Q15" s="25">
        <f>0.86+1.57</f>
        <v>2.4300000000000002</v>
      </c>
      <c r="R15" s="10"/>
      <c r="S15" s="19">
        <f t="shared" si="0"/>
        <v>45250</v>
      </c>
      <c r="T15" s="25">
        <f t="shared" si="1"/>
        <v>2.5099999999999998</v>
      </c>
      <c r="U15" s="25">
        <f t="shared" si="2"/>
        <v>0.08</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45280</v>
      </c>
      <c r="Q16" s="25">
        <f>1.52+0.81</f>
        <v>2.33</v>
      </c>
      <c r="R16" s="10"/>
      <c r="S16" s="19">
        <f t="shared" si="0"/>
        <v>45280</v>
      </c>
      <c r="T16" s="25">
        <f t="shared" si="1"/>
        <v>2.4300000000000002</v>
      </c>
      <c r="U16" s="25">
        <f t="shared" si="2"/>
        <v>0.1</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45311</v>
      </c>
      <c r="Q17" s="25">
        <f>1.57+0.79</f>
        <v>2.36</v>
      </c>
      <c r="R17" s="10"/>
      <c r="S17" s="19">
        <f t="shared" si="0"/>
        <v>45311</v>
      </c>
      <c r="T17" s="25">
        <f t="shared" si="1"/>
        <v>2.5099999999999998</v>
      </c>
      <c r="U17" s="25">
        <f t="shared" si="2"/>
        <v>0.15</v>
      </c>
      <c r="V17" s="10"/>
      <c r="W17" s="10"/>
      <c r="X17" s="10"/>
      <c r="Y17" s="10"/>
      <c r="Z17" s="10"/>
      <c r="AA17" s="10"/>
      <c r="AB17" s="10"/>
    </row>
    <row r="18" spans="1:30" s="2" customFormat="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customHeight="1">
      <c r="A26" s="9">
        <v>2</v>
      </c>
      <c r="B26" s="9" t="str">
        <f>B4</f>
        <v>成都中科华微电子有限公司</v>
      </c>
      <c r="C26" s="9" t="str">
        <f t="shared" ref="C26:G26" si="3">C4</f>
        <v>成都高新区</v>
      </c>
      <c r="D26" s="9" t="str">
        <f t="shared" si="3"/>
        <v>91510100394287808P</v>
      </c>
      <c r="E26" s="9" t="str">
        <f t="shared" si="3"/>
        <v>私营</v>
      </c>
      <c r="F26" s="9" t="str">
        <f t="shared" si="3"/>
        <v>国家税务总局成都高新技术产业开发区税务局第二税务所</v>
      </c>
      <c r="G26" s="9" t="str">
        <f t="shared" si="3"/>
        <v>1000050006624989（成都农商银行西区支行）</v>
      </c>
      <c r="H26" s="9"/>
      <c r="I26" s="9"/>
      <c r="J26" s="9"/>
      <c r="K26" s="9">
        <v>500</v>
      </c>
      <c r="L26" s="9"/>
      <c r="M26" s="20" t="s">
        <v>300</v>
      </c>
      <c r="N26" s="16">
        <v>44936</v>
      </c>
      <c r="O26" s="16">
        <v>45291</v>
      </c>
      <c r="P26" s="9">
        <f>P39-N26</f>
        <v>375</v>
      </c>
      <c r="Q26" s="22">
        <f>SUM(Q27:Q47)</f>
        <v>0</v>
      </c>
      <c r="R26" s="9"/>
      <c r="S26" s="9"/>
      <c r="T26" s="9">
        <f>SUM(T27:T47)</f>
        <v>14.34</v>
      </c>
      <c r="U26" s="23">
        <v>3.6499999999999998E-2</v>
      </c>
      <c r="V26" s="16"/>
      <c r="W26" s="9"/>
      <c r="X26" s="24">
        <v>1.4999999999999999E-2</v>
      </c>
      <c r="Y26" s="9">
        <f>ROUNDDOWN(IF((O26-N26+1)*K26*X26/365&gt;R26,R26,(O26-N26+1)*K26*X26/365),2)</f>
        <v>0</v>
      </c>
      <c r="Z26" s="9">
        <f>R26-Y26</f>
        <v>0</v>
      </c>
      <c r="AA26" s="9"/>
      <c r="AB26" s="9"/>
      <c r="AD26" s="1">
        <f>(O26-N26+1)*K26*X26/365</f>
        <v>7.3150684931506804</v>
      </c>
    </row>
    <row r="27" spans="1:30" s="2" customFormat="1">
      <c r="A27" s="10"/>
      <c r="B27" s="10"/>
      <c r="C27" s="10"/>
      <c r="D27" s="10"/>
      <c r="E27" s="10"/>
      <c r="F27" s="10"/>
      <c r="G27" s="10"/>
      <c r="H27" s="10"/>
      <c r="I27" s="10"/>
      <c r="J27" s="10"/>
      <c r="K27" s="10"/>
      <c r="L27" s="10"/>
      <c r="M27" s="17"/>
      <c r="N27" s="18"/>
      <c r="O27" s="16">
        <v>45665</v>
      </c>
      <c r="P27" s="19">
        <v>44946</v>
      </c>
      <c r="Q27" s="25"/>
      <c r="R27" s="10"/>
      <c r="S27" s="19">
        <f>P27</f>
        <v>44946</v>
      </c>
      <c r="T27" s="25">
        <f>(S27-N26)/360*$U$26*$K$26</f>
        <v>0.51</v>
      </c>
      <c r="U27" s="25">
        <f>T27-Q27</f>
        <v>0.51</v>
      </c>
      <c r="V27" s="18"/>
      <c r="W27" s="10"/>
      <c r="X27" s="10"/>
      <c r="Y27" s="29">
        <f>ROUNDUP((V27-N26)*K26*X26/365,2)</f>
        <v>-923.35</v>
      </c>
      <c r="Z27" s="10"/>
      <c r="AA27" s="10"/>
      <c r="AB27" s="10"/>
    </row>
    <row r="28" spans="1:30" s="2" customFormat="1">
      <c r="A28" s="10"/>
      <c r="B28" s="10"/>
      <c r="C28" s="10"/>
      <c r="D28" s="10"/>
      <c r="E28" s="10"/>
      <c r="F28" s="10"/>
      <c r="G28" s="10"/>
      <c r="H28" s="10"/>
      <c r="I28" s="10"/>
      <c r="J28" s="10"/>
      <c r="K28" s="10"/>
      <c r="L28" s="10"/>
      <c r="M28" s="17"/>
      <c r="N28" s="18"/>
      <c r="O28" s="18"/>
      <c r="P28" s="19">
        <v>44977</v>
      </c>
      <c r="Q28" s="25"/>
      <c r="R28" s="10"/>
      <c r="S28" s="19">
        <f t="shared" ref="S28:S36" si="4">P28</f>
        <v>44977</v>
      </c>
      <c r="T28" s="25">
        <f>(S28-S27)*$U$26*$K$26/360</f>
        <v>1.57</v>
      </c>
      <c r="U28" s="25">
        <f t="shared" ref="U28:U37" si="5">T28-Q28</f>
        <v>1.57</v>
      </c>
      <c r="V28" s="10"/>
      <c r="W28" s="10"/>
      <c r="X28" s="10"/>
      <c r="Y28" s="29">
        <f>ROUNDUP((O26-V27+1)*(K26-W27)*X26/365,2)</f>
        <v>930.66</v>
      </c>
      <c r="Z28" s="10"/>
      <c r="AA28" s="10"/>
      <c r="AB28" s="10"/>
    </row>
    <row r="29" spans="1:30" s="2" customFormat="1">
      <c r="A29" s="10"/>
      <c r="B29" s="10"/>
      <c r="C29" s="10"/>
      <c r="D29" s="10"/>
      <c r="E29" s="10"/>
      <c r="F29" s="10"/>
      <c r="G29" s="10"/>
      <c r="H29" s="10"/>
      <c r="I29" s="10"/>
      <c r="J29" s="10"/>
      <c r="K29" s="10"/>
      <c r="L29" s="10"/>
      <c r="M29" s="17"/>
      <c r="N29" s="18"/>
      <c r="O29" s="18"/>
      <c r="P29" s="19">
        <v>45005</v>
      </c>
      <c r="Q29" s="25"/>
      <c r="R29" s="10"/>
      <c r="S29" s="19">
        <f t="shared" si="4"/>
        <v>45005</v>
      </c>
      <c r="T29" s="25">
        <f t="shared" ref="T29:T36" si="6">(S29-S28)*$U$26*$K$26/360</f>
        <v>1.42</v>
      </c>
      <c r="U29" s="25">
        <f t="shared" si="5"/>
        <v>1.42</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45036</v>
      </c>
      <c r="Q30" s="25"/>
      <c r="R30" s="10"/>
      <c r="S30" s="19">
        <f t="shared" si="4"/>
        <v>45036</v>
      </c>
      <c r="T30" s="25">
        <f t="shared" si="6"/>
        <v>1.57</v>
      </c>
      <c r="U30" s="25">
        <f t="shared" si="5"/>
        <v>1.57</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45066</v>
      </c>
      <c r="Q31" s="25"/>
      <c r="R31" s="10"/>
      <c r="S31" s="19">
        <f t="shared" si="4"/>
        <v>45066</v>
      </c>
      <c r="T31" s="25">
        <f t="shared" si="6"/>
        <v>1.52</v>
      </c>
      <c r="U31" s="25">
        <f t="shared" si="5"/>
        <v>1.52</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45097</v>
      </c>
      <c r="Q32" s="25"/>
      <c r="R32" s="10"/>
      <c r="S32" s="19">
        <f t="shared" si="4"/>
        <v>45097</v>
      </c>
      <c r="T32" s="25">
        <f t="shared" si="6"/>
        <v>1.57</v>
      </c>
      <c r="U32" s="25">
        <f t="shared" si="5"/>
        <v>1.57</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45127</v>
      </c>
      <c r="Q33" s="25"/>
      <c r="R33" s="10"/>
      <c r="S33" s="19">
        <f t="shared" si="4"/>
        <v>45127</v>
      </c>
      <c r="T33" s="25">
        <f t="shared" si="6"/>
        <v>1.52</v>
      </c>
      <c r="U33" s="25">
        <f t="shared" si="5"/>
        <v>1.52</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45158</v>
      </c>
      <c r="Q34" s="25"/>
      <c r="R34" s="10"/>
      <c r="S34" s="19">
        <f t="shared" si="4"/>
        <v>45158</v>
      </c>
      <c r="T34" s="25">
        <f t="shared" si="6"/>
        <v>1.57</v>
      </c>
      <c r="U34" s="25">
        <f t="shared" si="5"/>
        <v>1.57</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45189</v>
      </c>
      <c r="Q35" s="25"/>
      <c r="R35" s="10"/>
      <c r="S35" s="19">
        <f t="shared" si="4"/>
        <v>45189</v>
      </c>
      <c r="T35" s="25">
        <f t="shared" si="6"/>
        <v>1.57</v>
      </c>
      <c r="U35" s="25">
        <f t="shared" si="5"/>
        <v>1.57</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45219</v>
      </c>
      <c r="Q36" s="25"/>
      <c r="R36" s="10"/>
      <c r="S36" s="19">
        <f t="shared" si="4"/>
        <v>45219</v>
      </c>
      <c r="T36" s="25">
        <f t="shared" si="6"/>
        <v>1.52</v>
      </c>
      <c r="U36" s="25">
        <f t="shared" si="5"/>
        <v>1.52</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45250</v>
      </c>
      <c r="Q37" s="25"/>
      <c r="R37" s="10"/>
      <c r="S37" s="19"/>
      <c r="T37" s="25"/>
      <c r="U37" s="25">
        <f t="shared" si="5"/>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45280</v>
      </c>
      <c r="Q38" s="25"/>
      <c r="R38" s="10"/>
      <c r="S38" s="19"/>
      <c r="T38" s="25"/>
      <c r="U38" s="25"/>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v>45311</v>
      </c>
      <c r="Q39" s="25"/>
      <c r="R39" s="10"/>
      <c r="S39" s="19"/>
      <c r="T39" s="25"/>
      <c r="U39" s="25"/>
      <c r="V39" s="10"/>
      <c r="W39" s="10"/>
      <c r="X39" s="10"/>
      <c r="Y39" s="10"/>
      <c r="Z39" s="10"/>
      <c r="AA39" s="10"/>
      <c r="AB39" s="10"/>
    </row>
    <row r="40" spans="1:28" s="2" customFormat="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c r="A48" s="9">
        <v>3</v>
      </c>
      <c r="B48" s="9" t="str">
        <f>B26</f>
        <v>成都中科华微电子有限公司</v>
      </c>
      <c r="C48" s="9" t="str">
        <f t="shared" ref="C48:G48" si="7">C26</f>
        <v>成都高新区</v>
      </c>
      <c r="D48" s="9" t="str">
        <f t="shared" si="7"/>
        <v>91510100394287808P</v>
      </c>
      <c r="E48" s="9" t="str">
        <f t="shared" si="7"/>
        <v>私营</v>
      </c>
      <c r="F48" s="9" t="str">
        <f t="shared" si="7"/>
        <v>国家税务总局成都高新技术产业开发区税务局第二税务所</v>
      </c>
      <c r="G48" s="9" t="str">
        <f t="shared" si="7"/>
        <v>1000050006624989（成都农商银行西区支行）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c r="A70" s="9">
        <v>4</v>
      </c>
      <c r="B70" s="9" t="str">
        <f>B48</f>
        <v>成都中科华微电子有限公司</v>
      </c>
      <c r="C70" s="9" t="str">
        <f t="shared" ref="C70:G70" si="10">C48</f>
        <v>成都高新区</v>
      </c>
      <c r="D70" s="9" t="str">
        <f t="shared" si="10"/>
        <v>91510100394287808P</v>
      </c>
      <c r="E70" s="9" t="str">
        <f t="shared" si="10"/>
        <v>私营</v>
      </c>
      <c r="F70" s="9" t="str">
        <f t="shared" si="10"/>
        <v>国家税务总局成都高新技术产业开发区税务局第二税务所</v>
      </c>
      <c r="G70" s="9" t="str">
        <f t="shared" si="10"/>
        <v>1000050006624989（成都农商银行西区支行）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c r="A92" s="9">
        <v>5</v>
      </c>
      <c r="B92" s="9" t="str">
        <f>B70</f>
        <v>成都中科华微电子有限公司</v>
      </c>
      <c r="C92" s="9" t="str">
        <f t="shared" ref="C92:G92" si="11">C70</f>
        <v>成都高新区</v>
      </c>
      <c r="D92" s="9" t="str">
        <f t="shared" si="11"/>
        <v>91510100394287808P</v>
      </c>
      <c r="E92" s="9" t="str">
        <f t="shared" si="11"/>
        <v>私营</v>
      </c>
      <c r="F92" s="9" t="str">
        <f t="shared" si="11"/>
        <v>国家税务总局成都高新技术产业开发区税务局第二税务所</v>
      </c>
      <c r="G92" s="9" t="str">
        <f t="shared" si="11"/>
        <v>1000050006624989（成都农商银行西区支行）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1300</v>
      </c>
      <c r="L114" s="9"/>
      <c r="M114" s="20"/>
      <c r="N114" s="16"/>
      <c r="O114" s="16"/>
      <c r="P114" s="9"/>
      <c r="Q114" s="9"/>
      <c r="R114" s="9">
        <f>R92+R70+R48+R26++R4</f>
        <v>11.69</v>
      </c>
      <c r="S114" s="9"/>
      <c r="T114" s="9"/>
      <c r="U114" s="9"/>
      <c r="V114" s="9"/>
      <c r="W114" s="9"/>
      <c r="X114" s="9"/>
      <c r="Y114" s="9">
        <f>Y92+Y70+Y48+Y26++Y4</f>
        <v>11.69</v>
      </c>
      <c r="Z114" s="9"/>
      <c r="AA114" s="9"/>
      <c r="AB114" s="9"/>
    </row>
    <row r="115" spans="1:28">
      <c r="I115" t="s">
        <v>49</v>
      </c>
      <c r="K115">
        <f>IF(K114&gt;3000,K116,K114)</f>
        <v>1300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116"/>
  <sheetViews>
    <sheetView topLeftCell="H1" zoomScale="70" zoomScaleNormal="70" workbookViewId="0">
      <pane ySplit="3" topLeftCell="A4" activePane="bottomLeft" state="frozen"/>
      <selection pane="bottomLeft" activeCell="I4" sqref="I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四川图林科技有限责任公司审计明细表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238">
      <c r="A4" s="9">
        <v>1</v>
      </c>
      <c r="B4" s="9" t="s">
        <v>301</v>
      </c>
      <c r="C4" s="9" t="s">
        <v>32</v>
      </c>
      <c r="D4" s="9" t="s">
        <v>302</v>
      </c>
      <c r="E4" s="9" t="s">
        <v>303</v>
      </c>
      <c r="F4" s="9" t="s">
        <v>201</v>
      </c>
      <c r="G4" s="9" t="s">
        <v>304</v>
      </c>
      <c r="H4" s="9" t="s">
        <v>71</v>
      </c>
      <c r="I4" s="9" t="s">
        <v>305</v>
      </c>
      <c r="J4" s="9" t="s">
        <v>306</v>
      </c>
      <c r="K4" s="9">
        <v>500</v>
      </c>
      <c r="L4" s="9" t="s">
        <v>307</v>
      </c>
      <c r="M4" s="20" t="s">
        <v>308</v>
      </c>
      <c r="N4" s="16">
        <v>45102</v>
      </c>
      <c r="O4" s="16">
        <v>45291</v>
      </c>
      <c r="P4" s="9">
        <f>P11-N4</f>
        <v>209</v>
      </c>
      <c r="Q4" s="22">
        <f>SUM(Q5:Q25)</f>
        <v>8.07</v>
      </c>
      <c r="R4" s="22">
        <v>3.84</v>
      </c>
      <c r="S4" s="9"/>
      <c r="T4" s="22">
        <f>SUM(T5:T25)</f>
        <v>8.98</v>
      </c>
      <c r="U4" s="23">
        <v>3.1E-2</v>
      </c>
      <c r="V4" s="16"/>
      <c r="W4" s="9" t="s">
        <v>42</v>
      </c>
      <c r="X4" s="24">
        <v>1.4999999999999999E-2</v>
      </c>
      <c r="Y4" s="9">
        <f>ROUNDDOWN(IF((O4-N4+1)*K4*X4/365&gt;R4,R4,(O4-N4+1)*K4*X4/365),2)</f>
        <v>3.84</v>
      </c>
      <c r="Z4" s="22">
        <f>R4-Y4</f>
        <v>0</v>
      </c>
      <c r="AA4" s="22"/>
      <c r="AB4" s="9" t="s">
        <v>61</v>
      </c>
      <c r="AD4" s="28">
        <f>(O4-N4+1)*K4*X4/365</f>
        <v>3.9041000000000001</v>
      </c>
    </row>
    <row r="5" spans="1:30" s="2" customFormat="1">
      <c r="A5" s="10"/>
      <c r="B5" s="10"/>
      <c r="C5" s="10"/>
      <c r="D5" s="10"/>
      <c r="E5" s="10"/>
      <c r="F5" s="10"/>
      <c r="G5" s="10"/>
      <c r="H5" s="10"/>
      <c r="I5" s="10"/>
      <c r="J5" s="10"/>
      <c r="K5" s="10"/>
      <c r="L5" s="10"/>
      <c r="M5" s="17"/>
      <c r="N5" s="18"/>
      <c r="O5" s="16">
        <v>45497</v>
      </c>
      <c r="P5" s="19">
        <v>45127</v>
      </c>
      <c r="Q5" s="25">
        <v>0.32</v>
      </c>
      <c r="R5" s="10"/>
      <c r="S5" s="19">
        <f>P5</f>
        <v>45127</v>
      </c>
      <c r="T5" s="25">
        <f>(S5-N4)/360*$U$4*$K$4</f>
        <v>1.08</v>
      </c>
      <c r="U5" s="25">
        <f>T5-Q5</f>
        <v>0.76</v>
      </c>
      <c r="V5" s="18"/>
      <c r="W5" s="10"/>
      <c r="X5" s="10"/>
      <c r="Y5" s="10">
        <f>ROUNDDOWN((V5-N4)*K4*X4/365,2)</f>
        <v>-926.75</v>
      </c>
      <c r="Z5" s="10"/>
      <c r="AA5" s="10"/>
      <c r="AB5" s="10"/>
    </row>
    <row r="6" spans="1:30" s="2" customFormat="1">
      <c r="A6" s="10"/>
      <c r="B6" s="10"/>
      <c r="C6" s="10"/>
      <c r="D6" s="10"/>
      <c r="E6" s="10"/>
      <c r="F6" s="10"/>
      <c r="G6" s="10"/>
      <c r="H6" s="10"/>
      <c r="I6" s="10"/>
      <c r="J6" s="10"/>
      <c r="K6" s="10"/>
      <c r="L6" s="10"/>
      <c r="M6" s="17"/>
      <c r="N6" s="18"/>
      <c r="O6" s="18"/>
      <c r="P6" s="19">
        <v>45158</v>
      </c>
      <c r="Q6" s="25">
        <v>1.18</v>
      </c>
      <c r="R6" s="10"/>
      <c r="S6" s="19">
        <f t="shared" ref="S6:S11" si="0">P6</f>
        <v>45158</v>
      </c>
      <c r="T6" s="25">
        <f>(S6-S5)*$K$4*$U$4/360</f>
        <v>1.33</v>
      </c>
      <c r="U6" s="25">
        <f>T6-Q6</f>
        <v>0.15</v>
      </c>
      <c r="V6" s="10"/>
      <c r="W6" s="10"/>
      <c r="X6" s="10"/>
      <c r="Y6" s="10"/>
      <c r="Z6" s="10"/>
      <c r="AA6" s="10"/>
      <c r="AB6" s="10"/>
    </row>
    <row r="7" spans="1:30" s="2" customFormat="1">
      <c r="A7" s="10"/>
      <c r="B7" s="10"/>
      <c r="C7" s="10"/>
      <c r="D7" s="10"/>
      <c r="E7" s="10"/>
      <c r="F7" s="10"/>
      <c r="G7" s="10"/>
      <c r="H7" s="10"/>
      <c r="I7" s="10"/>
      <c r="J7" s="10"/>
      <c r="K7" s="10"/>
      <c r="L7" s="10"/>
      <c r="M7" s="17"/>
      <c r="N7" s="18"/>
      <c r="O7" s="18"/>
      <c r="P7" s="19">
        <v>45189</v>
      </c>
      <c r="Q7" s="25">
        <v>1.33</v>
      </c>
      <c r="R7" s="10"/>
      <c r="S7" s="19">
        <f t="shared" si="0"/>
        <v>45189</v>
      </c>
      <c r="T7" s="25">
        <f t="shared" ref="T7:T11" si="1">(S7-S6)*$K$4*$U$4/360</f>
        <v>1.33</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45219</v>
      </c>
      <c r="Q8" s="25">
        <v>1.29</v>
      </c>
      <c r="R8" s="10"/>
      <c r="S8" s="19">
        <f t="shared" si="0"/>
        <v>45219</v>
      </c>
      <c r="T8" s="25">
        <f t="shared" si="1"/>
        <v>1.29</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45250</v>
      </c>
      <c r="Q9" s="25">
        <v>1.33</v>
      </c>
      <c r="R9" s="10"/>
      <c r="S9" s="19">
        <f t="shared" si="0"/>
        <v>45250</v>
      </c>
      <c r="T9" s="25">
        <f t="shared" si="1"/>
        <v>1.33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45280</v>
      </c>
      <c r="Q10" s="25">
        <v>1.29</v>
      </c>
      <c r="R10" s="10"/>
      <c r="S10" s="19">
        <f t="shared" si="0"/>
        <v>45280</v>
      </c>
      <c r="T10" s="25">
        <f t="shared" si="1"/>
        <v>1.29</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45311</v>
      </c>
      <c r="Q11" s="25">
        <v>1.33</v>
      </c>
      <c r="R11" s="10"/>
      <c r="S11" s="19">
        <f t="shared" si="0"/>
        <v>45311</v>
      </c>
      <c r="T11" s="25">
        <f t="shared" si="1"/>
        <v>1.33</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四川图林科技有限责任公司</v>
      </c>
      <c r="C26" s="9" t="str">
        <f t="shared" ref="C26:G26" si="3">C4</f>
        <v>成都高新技术产业开发区市场监督管理局</v>
      </c>
      <c r="D26" s="9" t="str">
        <f t="shared" si="3"/>
        <v>91510000791828903U</v>
      </c>
      <c r="E26" s="9" t="str">
        <f t="shared" si="3"/>
        <v>私营有限责任公司</v>
      </c>
      <c r="F26" s="9" t="str">
        <f t="shared" si="3"/>
        <v>成都高新区税务局</v>
      </c>
      <c r="G26" s="9" t="str">
        <f t="shared" si="3"/>
        <v>中国光大银行成都蜀汉路支行39870188000019337</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四川图林科技有限责任公司</v>
      </c>
      <c r="C48" s="9" t="str">
        <f t="shared" ref="C48:G48" si="7">C26</f>
        <v>成都高新技术产业开发区市场监督管理局</v>
      </c>
      <c r="D48" s="9" t="str">
        <f t="shared" si="7"/>
        <v>91510000791828903U</v>
      </c>
      <c r="E48" s="9" t="str">
        <f t="shared" si="7"/>
        <v>私营有限责任公司</v>
      </c>
      <c r="F48" s="9" t="str">
        <f t="shared" si="7"/>
        <v>成都高新区税务局</v>
      </c>
      <c r="G48" s="9" t="str">
        <f t="shared" si="7"/>
        <v>中国光大银行成都蜀汉路支行39870188000019337</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四川图林科技有限责任公司</v>
      </c>
      <c r="C70" s="9" t="str">
        <f t="shared" ref="C70:G70" si="10">C48</f>
        <v>成都高新技术产业开发区市场监督管理局</v>
      </c>
      <c r="D70" s="9" t="str">
        <f t="shared" si="10"/>
        <v>91510000791828903U</v>
      </c>
      <c r="E70" s="9" t="str">
        <f t="shared" si="10"/>
        <v>私营有限责任公司</v>
      </c>
      <c r="F70" s="9" t="str">
        <f t="shared" si="10"/>
        <v>成都高新区税务局</v>
      </c>
      <c r="G70" s="9" t="str">
        <f t="shared" si="10"/>
        <v>中国光大银行成都蜀汉路支行39870188000019337</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四川图林科技有限责任公司</v>
      </c>
      <c r="C92" s="9" t="str">
        <f t="shared" ref="C92:G92" si="11">C70</f>
        <v>成都高新技术产业开发区市场监督管理局</v>
      </c>
      <c r="D92" s="9" t="str">
        <f t="shared" si="11"/>
        <v>91510000791828903U</v>
      </c>
      <c r="E92" s="9" t="str">
        <f t="shared" si="11"/>
        <v>私营有限责任公司</v>
      </c>
      <c r="F92" s="9" t="str">
        <f t="shared" si="11"/>
        <v>成都高新区税务局</v>
      </c>
      <c r="G92" s="9" t="str">
        <f t="shared" si="11"/>
        <v>中国光大银行成都蜀汉路支行39870188000019337</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9">
        <f>R92+R70+R48+R26++R4</f>
        <v>3.84</v>
      </c>
      <c r="S114" s="9"/>
      <c r="T114" s="9"/>
      <c r="U114" s="9"/>
      <c r="V114" s="9"/>
      <c r="W114" s="9"/>
      <c r="X114" s="9"/>
      <c r="Y114" s="9">
        <f>Y92+Y70+Y48+Y26++Y4</f>
        <v>3.84</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16"/>
  <sheetViews>
    <sheetView topLeftCell="L1" zoomScale="80" zoomScaleNormal="8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四川新荷花中药饮片股份有限公司审计明细表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67</v>
      </c>
      <c r="C4" s="9" t="s">
        <v>32</v>
      </c>
      <c r="D4" s="9" t="s">
        <v>68</v>
      </c>
      <c r="E4" s="9" t="s">
        <v>54</v>
      </c>
      <c r="F4" s="9" t="s">
        <v>69</v>
      </c>
      <c r="G4" s="9" t="s">
        <v>70</v>
      </c>
      <c r="H4" s="9" t="s">
        <v>71</v>
      </c>
      <c r="I4" s="9" t="s">
        <v>72</v>
      </c>
      <c r="J4" s="9" t="s">
        <v>73</v>
      </c>
      <c r="K4" s="9">
        <v>1000</v>
      </c>
      <c r="L4" s="9" t="s">
        <v>74</v>
      </c>
      <c r="M4" s="20" t="s">
        <v>75</v>
      </c>
      <c r="N4" s="15">
        <v>45107</v>
      </c>
      <c r="O4" s="16">
        <v>45291</v>
      </c>
      <c r="P4" s="9">
        <f>P11-N4</f>
        <v>205</v>
      </c>
      <c r="Q4" s="22">
        <f>SUM(Q5:Q25)</f>
        <v>22.64</v>
      </c>
      <c r="R4" s="22">
        <v>7.6</v>
      </c>
      <c r="S4" s="9"/>
      <c r="T4" s="22">
        <f>SUM(T5:T25)</f>
        <v>22.75</v>
      </c>
      <c r="U4" s="23">
        <v>0.04</v>
      </c>
      <c r="V4" s="16"/>
      <c r="W4" s="9" t="s">
        <v>42</v>
      </c>
      <c r="X4" s="24">
        <v>1.4999999999999999E-2</v>
      </c>
      <c r="Y4" s="9">
        <f>ROUNDDOWN(IF((O4-N4+1)*K4*X4/365&gt;R4,R4,(O4-N4+1)*K4*X4/365),2)</f>
        <v>7.6</v>
      </c>
      <c r="Z4" s="22">
        <f>R4-Y4</f>
        <v>0</v>
      </c>
      <c r="AA4" s="22"/>
      <c r="AB4" s="9" t="s">
        <v>61</v>
      </c>
      <c r="AD4" s="28">
        <f>(O4-N4+1)*K4*X4/365</f>
        <v>7.6026999999999996</v>
      </c>
    </row>
    <row r="5" spans="1:30" s="2" customFormat="1">
      <c r="A5" s="10"/>
      <c r="B5" s="10"/>
      <c r="C5" s="10"/>
      <c r="D5" s="10"/>
      <c r="E5" s="10"/>
      <c r="F5" s="10"/>
      <c r="G5" s="10"/>
      <c r="H5" s="10"/>
      <c r="I5" s="10"/>
      <c r="J5" s="10"/>
      <c r="K5" s="10"/>
      <c r="L5" s="10"/>
      <c r="M5" s="17"/>
      <c r="N5" s="18"/>
      <c r="O5" s="16">
        <v>45471</v>
      </c>
      <c r="P5" s="19">
        <v>45128</v>
      </c>
      <c r="Q5" s="25">
        <v>2.2200000000000002</v>
      </c>
      <c r="R5" s="10"/>
      <c r="S5" s="19">
        <f>P5</f>
        <v>45128</v>
      </c>
      <c r="T5" s="25">
        <f>(S5-N4)/360*$U$4*$K$4</f>
        <v>2.33</v>
      </c>
      <c r="U5" s="25">
        <f>T5-Q5</f>
        <v>0.11</v>
      </c>
      <c r="V5" s="18"/>
      <c r="W5" s="10"/>
      <c r="X5" s="10"/>
      <c r="Y5" s="10"/>
      <c r="Z5" s="10"/>
      <c r="AA5" s="10"/>
      <c r="AB5" s="10"/>
    </row>
    <row r="6" spans="1:30" s="2" customFormat="1">
      <c r="A6" s="10"/>
      <c r="B6" s="10"/>
      <c r="C6" s="10"/>
      <c r="D6" s="10"/>
      <c r="E6" s="10"/>
      <c r="F6" s="10"/>
      <c r="G6" s="10"/>
      <c r="H6" s="10"/>
      <c r="I6" s="10"/>
      <c r="J6" s="10"/>
      <c r="K6" s="10"/>
      <c r="L6" s="10"/>
      <c r="M6" s="17"/>
      <c r="N6" s="18"/>
      <c r="O6" s="18"/>
      <c r="P6" s="19">
        <v>45159</v>
      </c>
      <c r="Q6" s="25">
        <v>3.44</v>
      </c>
      <c r="R6" s="10"/>
      <c r="S6" s="19">
        <f t="shared" ref="S6:S11" si="0">P6</f>
        <v>45159</v>
      </c>
      <c r="T6" s="25">
        <f>(S6-S5)*$K$4*$U$4/360</f>
        <v>3.44</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45190</v>
      </c>
      <c r="Q7" s="25">
        <v>3.44</v>
      </c>
      <c r="R7" s="10"/>
      <c r="S7" s="19">
        <f t="shared" si="0"/>
        <v>45190</v>
      </c>
      <c r="T7" s="25">
        <f t="shared" ref="T7:T11" si="1">(S7-S6)*$K$4*$U$4/360</f>
        <v>3.44</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45220</v>
      </c>
      <c r="Q8" s="25">
        <v>3.33</v>
      </c>
      <c r="R8" s="10"/>
      <c r="S8" s="19">
        <f t="shared" si="0"/>
        <v>45220</v>
      </c>
      <c r="T8" s="25">
        <f t="shared" si="1"/>
        <v>3.33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45251</v>
      </c>
      <c r="Q9" s="25">
        <v>3.44</v>
      </c>
      <c r="R9" s="10"/>
      <c r="S9" s="19">
        <f t="shared" si="0"/>
        <v>45251</v>
      </c>
      <c r="T9" s="25">
        <f t="shared" si="1"/>
        <v>3.44</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45281</v>
      </c>
      <c r="Q10" s="25">
        <v>3.33</v>
      </c>
      <c r="R10" s="10"/>
      <c r="S10" s="19">
        <f t="shared" si="0"/>
        <v>45281</v>
      </c>
      <c r="T10" s="25">
        <f t="shared" si="1"/>
        <v>3.33</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45312</v>
      </c>
      <c r="Q11" s="25">
        <v>3.44</v>
      </c>
      <c r="R11" s="10"/>
      <c r="S11" s="19">
        <f t="shared" si="0"/>
        <v>45312</v>
      </c>
      <c r="T11" s="25">
        <f t="shared" si="1"/>
        <v>3.44</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hidden="1">
      <c r="A26" s="9">
        <v>2</v>
      </c>
      <c r="B26" s="9" t="str">
        <f>B4</f>
        <v>四川新荷花中药饮片股份有限公司</v>
      </c>
      <c r="C26" s="9" t="str">
        <f t="shared" ref="C26:G26" si="3">C4</f>
        <v>成都高新技术产业开发区市场监督管理局</v>
      </c>
      <c r="D26" s="9" t="str">
        <f t="shared" si="3"/>
        <v>91510100734795009L</v>
      </c>
      <c r="E26" s="9" t="str">
        <f t="shared" si="3"/>
        <v>股份有限公司</v>
      </c>
      <c r="F26" s="9" t="str">
        <f t="shared" si="3"/>
        <v>高新区税务局</v>
      </c>
      <c r="G26" s="9" t="str">
        <f t="shared" si="3"/>
        <v>成都银行金牛支行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四川新荷花中药饮片股份有限公司</v>
      </c>
      <c r="C48" s="9" t="str">
        <f t="shared" ref="C48:G48" si="7">C26</f>
        <v>成都高新技术产业开发区市场监督管理局</v>
      </c>
      <c r="D48" s="9" t="str">
        <f t="shared" si="7"/>
        <v>91510100734795009L</v>
      </c>
      <c r="E48" s="9" t="str">
        <f t="shared" si="7"/>
        <v>股份有限公司</v>
      </c>
      <c r="F48" s="9" t="str">
        <f t="shared" si="7"/>
        <v>高新区税务局</v>
      </c>
      <c r="G48" s="9" t="str">
        <f t="shared" si="7"/>
        <v>成都银行金牛支行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四川新荷花中药饮片股份有限公司</v>
      </c>
      <c r="C70" s="9" t="str">
        <f t="shared" ref="C70:G70" si="10">C48</f>
        <v>成都高新技术产业开发区市场监督管理局</v>
      </c>
      <c r="D70" s="9" t="str">
        <f t="shared" si="10"/>
        <v>91510100734795009L</v>
      </c>
      <c r="E70" s="9" t="str">
        <f t="shared" si="10"/>
        <v>股份有限公司</v>
      </c>
      <c r="F70" s="9" t="str">
        <f t="shared" si="10"/>
        <v>高新区税务局</v>
      </c>
      <c r="G70" s="9" t="str">
        <f t="shared" si="10"/>
        <v>成都银行金牛支行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四川新荷花中药饮片股份有限公司</v>
      </c>
      <c r="C92" s="9" t="str">
        <f t="shared" ref="C92:G92" si="11">C70</f>
        <v>成都高新技术产业开发区市场监督管理局</v>
      </c>
      <c r="D92" s="9" t="str">
        <f t="shared" si="11"/>
        <v>91510100734795009L</v>
      </c>
      <c r="E92" s="9" t="str">
        <f t="shared" si="11"/>
        <v>股份有限公司</v>
      </c>
      <c r="F92" s="9" t="str">
        <f t="shared" si="11"/>
        <v>高新区税务局</v>
      </c>
      <c r="G92" s="9" t="str">
        <f t="shared" si="11"/>
        <v>成都银行金牛支行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7.6</v>
      </c>
      <c r="S114" s="9"/>
      <c r="T114" s="9"/>
      <c r="U114" s="9"/>
      <c r="V114" s="9"/>
      <c r="W114" s="9"/>
      <c r="X114" s="9"/>
      <c r="Y114" s="9">
        <f>Y92+Y70+Y48+Y26++Y4</f>
        <v>7.6</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D116"/>
  <sheetViews>
    <sheetView topLeftCell="H1" zoomScale="70" zoomScaleNormal="70" workbookViewId="0">
      <pane ySplit="3" topLeftCell="A4" activePane="bottomLeft" state="frozen"/>
      <selection pane="bottomLeft" activeCell="N26" sqref="N26:AB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成都成电光信科技股份有限公司审计明细表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309</v>
      </c>
      <c r="C4" s="9" t="s">
        <v>52</v>
      </c>
      <c r="D4" s="9" t="s">
        <v>310</v>
      </c>
      <c r="E4" s="9" t="s">
        <v>101</v>
      </c>
      <c r="F4" s="9" t="s">
        <v>35</v>
      </c>
      <c r="G4" s="9" t="s">
        <v>311</v>
      </c>
      <c r="H4" s="9" t="s">
        <v>156</v>
      </c>
      <c r="I4" s="9" t="s">
        <v>72</v>
      </c>
      <c r="J4" s="9" t="s">
        <v>58</v>
      </c>
      <c r="K4" s="9">
        <v>1050</v>
      </c>
      <c r="L4" s="9" t="s">
        <v>312</v>
      </c>
      <c r="M4" s="20" t="s">
        <v>313</v>
      </c>
      <c r="N4" s="16">
        <v>44932</v>
      </c>
      <c r="O4" s="16">
        <v>45291</v>
      </c>
      <c r="P4" s="9">
        <f>P16-N4</f>
        <v>364</v>
      </c>
      <c r="Q4" s="22">
        <f>SUM(Q5:Q25)</f>
        <v>46.18</v>
      </c>
      <c r="R4" s="22">
        <v>20.66</v>
      </c>
      <c r="S4" s="9"/>
      <c r="T4" s="22">
        <f>SUM(T5:T25)</f>
        <v>46.18</v>
      </c>
      <c r="U4" s="23">
        <v>4.3499999999999997E-2</v>
      </c>
      <c r="V4" s="16"/>
      <c r="W4" s="9" t="s">
        <v>42</v>
      </c>
      <c r="X4" s="24">
        <v>0.02</v>
      </c>
      <c r="Y4" s="9">
        <f>ROUNDDOWN(IF((O4-N4+1)*K4*X4/365&gt;R4,R4,(O4-N4+1)*K4*X4/365),2)</f>
        <v>20.66</v>
      </c>
      <c r="Z4" s="22">
        <f>R4-Y4</f>
        <v>0</v>
      </c>
      <c r="AA4" s="22"/>
      <c r="AB4" s="9" t="s">
        <v>61</v>
      </c>
      <c r="AD4" s="28">
        <f>(O4-N4+1)*K4*X4/365</f>
        <v>20.712299999999999</v>
      </c>
    </row>
    <row r="5" spans="1:30" s="2" customFormat="1">
      <c r="A5" s="10"/>
      <c r="B5" s="10"/>
      <c r="C5" s="10"/>
      <c r="D5" s="10"/>
      <c r="E5" s="10"/>
      <c r="F5" s="10"/>
      <c r="G5" s="10"/>
      <c r="H5" s="10"/>
      <c r="I5" s="10"/>
      <c r="J5" s="10"/>
      <c r="K5" s="10"/>
      <c r="L5" s="10"/>
      <c r="M5" s="17"/>
      <c r="N5" s="18"/>
      <c r="O5" s="16">
        <v>45296</v>
      </c>
      <c r="P5" s="19">
        <v>44978</v>
      </c>
      <c r="Q5" s="25">
        <v>5.84</v>
      </c>
      <c r="R5" s="10"/>
      <c r="S5" s="19">
        <f>P5</f>
        <v>44978</v>
      </c>
      <c r="T5" s="25">
        <f>(S5-N4)/360*$U$4*$K$4</f>
        <v>5.84</v>
      </c>
      <c r="U5" s="25">
        <f>T5-Q5</f>
        <v>0</v>
      </c>
      <c r="V5" s="18"/>
      <c r="W5" s="10"/>
      <c r="X5" s="10"/>
      <c r="Y5" s="10">
        <f>ROUNDDOWN((V5-N4)*K4*X4/365,2)</f>
        <v>-2585.12</v>
      </c>
      <c r="Z5" s="10"/>
      <c r="AA5" s="10"/>
      <c r="AB5" s="10"/>
    </row>
    <row r="6" spans="1:30" s="2" customFormat="1">
      <c r="A6" s="10"/>
      <c r="B6" s="10"/>
      <c r="C6" s="10"/>
      <c r="D6" s="10"/>
      <c r="E6" s="10"/>
      <c r="F6" s="10"/>
      <c r="G6" s="10"/>
      <c r="H6" s="10"/>
      <c r="I6" s="10"/>
      <c r="J6" s="10"/>
      <c r="K6" s="10"/>
      <c r="L6" s="10"/>
      <c r="M6" s="17"/>
      <c r="N6" s="18"/>
      <c r="O6" s="18"/>
      <c r="P6" s="19">
        <v>45006</v>
      </c>
      <c r="Q6" s="25">
        <v>3.55</v>
      </c>
      <c r="R6" s="10"/>
      <c r="S6" s="19">
        <f t="shared" ref="S6:S16" si="0">P6</f>
        <v>45006</v>
      </c>
      <c r="T6" s="25">
        <f>(S6-S5)*$K$4*$U$4/360</f>
        <v>3.55</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45037</v>
      </c>
      <c r="Q7" s="114">
        <v>3.93</v>
      </c>
      <c r="R7" s="10"/>
      <c r="S7" s="19">
        <f t="shared" si="0"/>
        <v>45037</v>
      </c>
      <c r="T7" s="25">
        <f t="shared" ref="T7:T16" si="1">(S7-S6)*$K$4*$U$4/360</f>
        <v>3.93</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45067</v>
      </c>
      <c r="Q8" s="25">
        <v>3.81</v>
      </c>
      <c r="R8" s="10"/>
      <c r="S8" s="19">
        <f t="shared" si="0"/>
        <v>45067</v>
      </c>
      <c r="T8" s="25">
        <f t="shared" si="1"/>
        <v>3.81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45098</v>
      </c>
      <c r="Q9" s="25">
        <v>3.93</v>
      </c>
      <c r="R9" s="10"/>
      <c r="S9" s="19">
        <f t="shared" si="0"/>
        <v>45098</v>
      </c>
      <c r="T9" s="25">
        <f t="shared" si="1"/>
        <v>3.93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45128</v>
      </c>
      <c r="Q10" s="25">
        <v>3.81</v>
      </c>
      <c r="R10" s="10"/>
      <c r="S10" s="19">
        <f t="shared" si="0"/>
        <v>45128</v>
      </c>
      <c r="T10" s="25">
        <f t="shared" si="1"/>
        <v>3.81</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45159</v>
      </c>
      <c r="Q11" s="25">
        <v>3.93</v>
      </c>
      <c r="R11" s="10"/>
      <c r="S11" s="19">
        <f t="shared" si="0"/>
        <v>45159</v>
      </c>
      <c r="T11" s="25">
        <f t="shared" si="1"/>
        <v>3.93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45190</v>
      </c>
      <c r="Q12" s="25">
        <v>3.93</v>
      </c>
      <c r="R12" s="10"/>
      <c r="S12" s="19">
        <f t="shared" si="0"/>
        <v>45190</v>
      </c>
      <c r="T12" s="25">
        <f t="shared" si="1"/>
        <v>3.93</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45220</v>
      </c>
      <c r="Q13" s="25">
        <v>3.81</v>
      </c>
      <c r="R13" s="10"/>
      <c r="S13" s="19">
        <f t="shared" si="0"/>
        <v>45220</v>
      </c>
      <c r="T13" s="25">
        <f t="shared" si="1"/>
        <v>3.81</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45251</v>
      </c>
      <c r="Q14" s="25">
        <v>3.93</v>
      </c>
      <c r="R14" s="10"/>
      <c r="S14" s="19">
        <f t="shared" si="0"/>
        <v>45251</v>
      </c>
      <c r="T14" s="25">
        <f t="shared" si="1"/>
        <v>3.93</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45281</v>
      </c>
      <c r="Q15" s="25">
        <v>3.81</v>
      </c>
      <c r="R15" s="10"/>
      <c r="S15" s="19">
        <f t="shared" si="0"/>
        <v>45281</v>
      </c>
      <c r="T15" s="25">
        <f t="shared" si="1"/>
        <v>3.81</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45296</v>
      </c>
      <c r="Q16" s="25">
        <v>1.9</v>
      </c>
      <c r="R16" s="10"/>
      <c r="S16" s="19">
        <f t="shared" si="0"/>
        <v>45296</v>
      </c>
      <c r="T16" s="25">
        <f t="shared" si="1"/>
        <v>1.9</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07.25" customHeight="1">
      <c r="A26" s="9">
        <v>2</v>
      </c>
      <c r="B26" s="9" t="str">
        <f>B4</f>
        <v>成都成电光信科技股份有限公司</v>
      </c>
      <c r="C26" s="9" t="str">
        <f t="shared" ref="C26:G26" si="3">C4</f>
        <v>成都市市场监督管理局</v>
      </c>
      <c r="D26" s="9" t="str">
        <f t="shared" si="3"/>
        <v>9151010057463511XR</v>
      </c>
      <c r="E26" s="9" t="str">
        <f t="shared" si="3"/>
        <v>民营</v>
      </c>
      <c r="F26" s="9" t="str">
        <f t="shared" si="3"/>
        <v>国家税务总局成都高新技术产业开发区税务局</v>
      </c>
      <c r="G26" s="9" t="str">
        <f t="shared" si="3"/>
        <v>1001300000746815（成都银行股份有限公司西区支行）</v>
      </c>
      <c r="H26" s="9" t="s">
        <v>71</v>
      </c>
      <c r="I26" s="9" t="s">
        <v>314</v>
      </c>
      <c r="J26" s="9" t="s">
        <v>84</v>
      </c>
      <c r="K26" s="9">
        <v>500</v>
      </c>
      <c r="L26" s="9" t="s">
        <v>315</v>
      </c>
      <c r="M26" s="20" t="s">
        <v>316</v>
      </c>
      <c r="N26" s="16">
        <v>44895</v>
      </c>
      <c r="O26" s="16">
        <v>45291</v>
      </c>
      <c r="P26" s="9">
        <f>P33-N26</f>
        <v>477</v>
      </c>
      <c r="Q26" s="22">
        <f>SUM(Q27:Q47)</f>
        <v>28.86</v>
      </c>
      <c r="R26" s="9">
        <v>8.14</v>
      </c>
      <c r="S26" s="9"/>
      <c r="T26" s="9">
        <f>SUM(T27:T47)</f>
        <v>29.82</v>
      </c>
      <c r="U26" s="23">
        <v>4.4999999999999998E-2</v>
      </c>
      <c r="V26" s="16"/>
      <c r="W26" s="9" t="s">
        <v>317</v>
      </c>
      <c r="X26" s="24">
        <v>1.4999999999999999E-2</v>
      </c>
      <c r="Y26" s="22">
        <f>Y27+Y28</f>
        <v>8.11</v>
      </c>
      <c r="Z26" s="9">
        <f>R26-Y26</f>
        <v>3.0000000000001099E-2</v>
      </c>
      <c r="AA26" s="9" t="s">
        <v>108</v>
      </c>
      <c r="AB26" s="119" t="s">
        <v>61</v>
      </c>
      <c r="AD26" s="1">
        <f>(O26-N26+1)*K26*X26/365</f>
        <v>8.1575342465753398</v>
      </c>
    </row>
    <row r="27" spans="1:30" s="2" customFormat="1">
      <c r="A27" s="10"/>
      <c r="B27" s="10"/>
      <c r="C27" s="10"/>
      <c r="D27" s="10"/>
      <c r="E27" s="10"/>
      <c r="F27" s="10"/>
      <c r="G27" s="10"/>
      <c r="H27" s="10"/>
      <c r="I27" s="10"/>
      <c r="J27" s="10"/>
      <c r="K27" s="10"/>
      <c r="L27" s="10"/>
      <c r="M27" s="17"/>
      <c r="N27" s="18"/>
      <c r="O27" s="16">
        <v>45625</v>
      </c>
      <c r="P27" s="19">
        <v>44916</v>
      </c>
      <c r="Q27" s="25">
        <f>0.13+1.18</f>
        <v>1.31</v>
      </c>
      <c r="R27" s="10"/>
      <c r="S27" s="19">
        <f>P27</f>
        <v>44916</v>
      </c>
      <c r="T27" s="25">
        <f>(S27-N26)/360*$U$26*$K$26</f>
        <v>1.31</v>
      </c>
      <c r="U27" s="25">
        <f>T27-Q27</f>
        <v>0</v>
      </c>
      <c r="V27" s="18">
        <v>45259</v>
      </c>
      <c r="W27" s="10">
        <v>25</v>
      </c>
      <c r="X27" s="10"/>
      <c r="Y27" s="29">
        <f>ROUNDDOWN((V27-N26)*K26*X26/365,2)</f>
        <v>7.47</v>
      </c>
      <c r="Z27" s="10"/>
      <c r="AA27" s="10"/>
      <c r="AB27" s="10"/>
    </row>
    <row r="28" spans="1:30" s="2" customFormat="1">
      <c r="A28" s="10"/>
      <c r="B28" s="10"/>
      <c r="C28" s="10"/>
      <c r="D28" s="10"/>
      <c r="E28" s="10"/>
      <c r="F28" s="10"/>
      <c r="G28" s="10"/>
      <c r="H28" s="10"/>
      <c r="I28" s="10"/>
      <c r="J28" s="10"/>
      <c r="K28" s="10"/>
      <c r="L28" s="10"/>
      <c r="M28" s="17"/>
      <c r="N28" s="18"/>
      <c r="O28" s="18"/>
      <c r="P28" s="19">
        <v>45006</v>
      </c>
      <c r="Q28" s="25">
        <v>5.63</v>
      </c>
      <c r="R28" s="10"/>
      <c r="S28" s="19">
        <f t="shared" ref="S28:S33" si="4">P28</f>
        <v>45006</v>
      </c>
      <c r="T28" s="25">
        <f>(S28-S27)*$U$26*$K$26/360</f>
        <v>5.63</v>
      </c>
      <c r="U28" s="25">
        <f t="shared" ref="U28:U37" si="5">T28-Q28</f>
        <v>0</v>
      </c>
      <c r="V28" s="10"/>
      <c r="W28" s="10"/>
      <c r="X28" s="10"/>
      <c r="Y28" s="29">
        <f>ROUNDDOWN((O26-V27+1)*(K26-W27)*X26/365,2)</f>
        <v>0.64</v>
      </c>
      <c r="Z28" s="10"/>
      <c r="AA28" s="10"/>
      <c r="AB28" s="10"/>
    </row>
    <row r="29" spans="1:30" s="2" customFormat="1">
      <c r="A29" s="10"/>
      <c r="B29" s="10"/>
      <c r="C29" s="10"/>
      <c r="D29" s="10"/>
      <c r="E29" s="10"/>
      <c r="F29" s="10"/>
      <c r="G29" s="10"/>
      <c r="H29" s="10"/>
      <c r="I29" s="10"/>
      <c r="J29" s="10"/>
      <c r="K29" s="10"/>
      <c r="L29" s="10"/>
      <c r="M29" s="17"/>
      <c r="N29" s="18"/>
      <c r="O29" s="18"/>
      <c r="P29" s="19">
        <v>45098</v>
      </c>
      <c r="Q29" s="25">
        <v>5.75</v>
      </c>
      <c r="R29" s="10"/>
      <c r="S29" s="19">
        <f t="shared" si="4"/>
        <v>45098</v>
      </c>
      <c r="T29" s="25">
        <f t="shared" ref="T29:T33" si="6">(S29-S28)*$U$26*$K$26/360</f>
        <v>5.75</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45190</v>
      </c>
      <c r="Q30" s="25">
        <v>5.75</v>
      </c>
      <c r="R30" s="10"/>
      <c r="S30" s="19">
        <f t="shared" si="4"/>
        <v>45190</v>
      </c>
      <c r="T30" s="25">
        <f t="shared" si="6"/>
        <v>5.75</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45259</v>
      </c>
      <c r="Q31" s="25">
        <v>0.22</v>
      </c>
      <c r="R31" s="10"/>
      <c r="S31" s="19">
        <f t="shared" si="4"/>
        <v>45259</v>
      </c>
      <c r="T31" s="25">
        <f t="shared" si="6"/>
        <v>4.3099999999999996</v>
      </c>
      <c r="U31" s="25">
        <f t="shared" si="5"/>
        <v>4.09</v>
      </c>
      <c r="V31" s="10"/>
      <c r="W31" s="10"/>
      <c r="X31" s="10"/>
      <c r="Y31" s="10"/>
      <c r="Z31" s="10"/>
      <c r="AA31" s="10"/>
      <c r="AB31" s="10"/>
    </row>
    <row r="32" spans="1:30" s="2" customFormat="1" ht="28">
      <c r="A32" s="10"/>
      <c r="B32" s="10"/>
      <c r="C32" s="10"/>
      <c r="D32" s="10"/>
      <c r="E32" s="10"/>
      <c r="F32" s="10"/>
      <c r="G32" s="10"/>
      <c r="H32" s="10"/>
      <c r="I32" s="10"/>
      <c r="J32" s="10"/>
      <c r="K32" s="10"/>
      <c r="L32" s="10"/>
      <c r="M32" s="17"/>
      <c r="N32" s="18"/>
      <c r="O32" s="15" t="s">
        <v>318</v>
      </c>
      <c r="P32" s="19">
        <v>45281</v>
      </c>
      <c r="Q32" s="114">
        <v>5.4</v>
      </c>
      <c r="R32" s="10"/>
      <c r="S32" s="19">
        <f t="shared" si="4"/>
        <v>45281</v>
      </c>
      <c r="T32" s="25">
        <f t="shared" si="6"/>
        <v>1.38</v>
      </c>
      <c r="U32" s="25">
        <f t="shared" si="5"/>
        <v>-4.0199999999999996</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45372</v>
      </c>
      <c r="Q33" s="25">
        <v>4.8</v>
      </c>
      <c r="R33" s="10"/>
      <c r="S33" s="19">
        <f t="shared" si="4"/>
        <v>45372</v>
      </c>
      <c r="T33" s="25">
        <f t="shared" si="6"/>
        <v>5.69</v>
      </c>
      <c r="U33" s="25">
        <f t="shared" si="5"/>
        <v>0.89</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c r="A48" s="9">
        <v>3</v>
      </c>
      <c r="B48" s="9" t="str">
        <f>B26</f>
        <v>成都成电光信科技股份有限公司</v>
      </c>
      <c r="C48" s="9" t="str">
        <f t="shared" ref="C48:G48" si="7">C26</f>
        <v>成都市市场监督管理局</v>
      </c>
      <c r="D48" s="9" t="str">
        <f t="shared" si="7"/>
        <v>9151010057463511XR</v>
      </c>
      <c r="E48" s="9" t="str">
        <f t="shared" si="7"/>
        <v>民营</v>
      </c>
      <c r="F48" s="9" t="str">
        <f t="shared" si="7"/>
        <v>国家税务总局成都高新技术产业开发区税务局</v>
      </c>
      <c r="G48" s="9" t="str">
        <f t="shared" si="7"/>
        <v>1001300000746815（成都银行股份有限公司西区支行）</v>
      </c>
      <c r="H48" s="9" t="s">
        <v>71</v>
      </c>
      <c r="I48" s="9" t="s">
        <v>314</v>
      </c>
      <c r="J48" s="9" t="s">
        <v>84</v>
      </c>
      <c r="K48" s="9">
        <v>500</v>
      </c>
      <c r="L48" s="9" t="s">
        <v>319</v>
      </c>
      <c r="M48" s="20" t="s">
        <v>320</v>
      </c>
      <c r="N48" s="16">
        <v>44901</v>
      </c>
      <c r="O48" s="16">
        <v>45291</v>
      </c>
      <c r="P48" s="9">
        <f>P55-N48</f>
        <v>471</v>
      </c>
      <c r="Q48" s="22">
        <f>SUM(Q49:Q69)</f>
        <v>28.5</v>
      </c>
      <c r="R48" s="9">
        <v>8.0299999999999994</v>
      </c>
      <c r="S48" s="9"/>
      <c r="T48" s="9">
        <f>SUM(T49:T69)</f>
        <v>29.45</v>
      </c>
      <c r="U48" s="23">
        <v>4.4999999999999998E-2</v>
      </c>
      <c r="V48" s="16"/>
      <c r="W48" s="9" t="s">
        <v>321</v>
      </c>
      <c r="X48" s="24">
        <v>1.4999999999999999E-2</v>
      </c>
      <c r="Y48" s="22">
        <f>Y49+Y50</f>
        <v>7.99</v>
      </c>
      <c r="Z48" s="30">
        <f>R48-Y48</f>
        <v>3.9999999999999099E-2</v>
      </c>
      <c r="AA48" s="30" t="s">
        <v>108</v>
      </c>
      <c r="AB48" s="9" t="s">
        <v>61</v>
      </c>
    </row>
    <row r="49" spans="1:28" s="2" customFormat="1">
      <c r="A49" s="10"/>
      <c r="B49" s="10"/>
      <c r="C49" s="10"/>
      <c r="D49" s="10"/>
      <c r="E49" s="10"/>
      <c r="F49" s="10"/>
      <c r="G49" s="10"/>
      <c r="H49" s="10"/>
      <c r="I49" s="10"/>
      <c r="J49" s="10"/>
      <c r="K49" s="10"/>
      <c r="L49" s="10"/>
      <c r="M49" s="17"/>
      <c r="N49" s="18"/>
      <c r="O49" s="16">
        <v>45631</v>
      </c>
      <c r="P49" s="19">
        <v>44916</v>
      </c>
      <c r="Q49" s="114">
        <v>0.94</v>
      </c>
      <c r="R49" s="10"/>
      <c r="S49" s="19">
        <f>P49</f>
        <v>44916</v>
      </c>
      <c r="T49" s="25">
        <f>(S49-N48)/360*$U$48*$K$48</f>
        <v>0.94</v>
      </c>
      <c r="U49" s="25">
        <f>T49-Q49</f>
        <v>0</v>
      </c>
      <c r="V49" s="18">
        <v>45265</v>
      </c>
      <c r="W49" s="10">
        <v>25</v>
      </c>
      <c r="X49" s="10"/>
      <c r="Y49" s="29">
        <f>ROUNDDOWN((V49-N48)*K48*X48/365,2)</f>
        <v>7.47</v>
      </c>
      <c r="Z49" s="10"/>
      <c r="AA49" s="10"/>
      <c r="AB49" s="10"/>
    </row>
    <row r="50" spans="1:28" s="2" customFormat="1">
      <c r="A50" s="10"/>
      <c r="B50" s="10"/>
      <c r="C50" s="10"/>
      <c r="D50" s="10"/>
      <c r="E50" s="10"/>
      <c r="F50" s="10"/>
      <c r="G50" s="10"/>
      <c r="H50" s="10"/>
      <c r="I50" s="10"/>
      <c r="J50" s="10"/>
      <c r="K50" s="10"/>
      <c r="L50" s="10"/>
      <c r="M50" s="17"/>
      <c r="N50" s="18"/>
      <c r="O50" s="18"/>
      <c r="P50" s="19">
        <v>45006</v>
      </c>
      <c r="Q50" s="25">
        <f>4.2+1.43</f>
        <v>5.63</v>
      </c>
      <c r="R50" s="10"/>
      <c r="S50" s="19">
        <f t="shared" ref="S50" si="8">P50</f>
        <v>45006</v>
      </c>
      <c r="T50" s="25">
        <f>(S50-S49)*$U$48*$K$48/360</f>
        <v>5.63</v>
      </c>
      <c r="U50" s="25">
        <f t="shared" ref="U50" si="9">T50-Q50</f>
        <v>0</v>
      </c>
      <c r="V50" s="10"/>
      <c r="W50" s="10"/>
      <c r="X50" s="10"/>
      <c r="Y50" s="29">
        <f>ROUNDDOWN((O48-V49+1)*(K48-W49)*X48/365,2)</f>
        <v>0.52</v>
      </c>
      <c r="Z50" s="10"/>
      <c r="AA50" s="10"/>
      <c r="AB50" s="10"/>
    </row>
    <row r="51" spans="1:28" s="2" customFormat="1">
      <c r="A51" s="10"/>
      <c r="B51" s="10"/>
      <c r="C51" s="10"/>
      <c r="D51" s="10"/>
      <c r="E51" s="10"/>
      <c r="F51" s="10"/>
      <c r="G51" s="10"/>
      <c r="H51" s="10"/>
      <c r="I51" s="10"/>
      <c r="J51" s="10"/>
      <c r="K51" s="10"/>
      <c r="L51" s="10"/>
      <c r="M51" s="17"/>
      <c r="N51" s="18"/>
      <c r="O51" s="18"/>
      <c r="P51" s="19">
        <v>45098</v>
      </c>
      <c r="Q51" s="25">
        <v>5.75</v>
      </c>
      <c r="R51" s="10"/>
      <c r="S51" s="19">
        <f t="shared" ref="S51:S55" si="10">P51</f>
        <v>45098</v>
      </c>
      <c r="T51" s="25">
        <f t="shared" ref="T51:T55" si="11">(S51-S50)*$U$48*$K$48/360</f>
        <v>5.75</v>
      </c>
      <c r="U51" s="25">
        <f t="shared" ref="U51:U55" si="12">T51-Q51</f>
        <v>0</v>
      </c>
      <c r="V51" s="10"/>
      <c r="W51" s="10"/>
      <c r="X51" s="10"/>
      <c r="Y51" s="10"/>
      <c r="Z51" s="10"/>
      <c r="AA51" s="10"/>
      <c r="AB51" s="10"/>
    </row>
    <row r="52" spans="1:28" s="2" customFormat="1">
      <c r="A52" s="10"/>
      <c r="B52" s="10"/>
      <c r="C52" s="10"/>
      <c r="D52" s="10"/>
      <c r="E52" s="10"/>
      <c r="F52" s="10"/>
      <c r="G52" s="10"/>
      <c r="H52" s="10"/>
      <c r="I52" s="10"/>
      <c r="J52" s="10"/>
      <c r="K52" s="10"/>
      <c r="L52" s="10"/>
      <c r="M52" s="17"/>
      <c r="N52" s="18"/>
      <c r="O52" s="18"/>
      <c r="P52" s="19">
        <v>45190</v>
      </c>
      <c r="Q52" s="25">
        <v>5.75</v>
      </c>
      <c r="R52" s="10"/>
      <c r="S52" s="19">
        <f t="shared" si="10"/>
        <v>45190</v>
      </c>
      <c r="T52" s="25">
        <f t="shared" si="11"/>
        <v>5.75</v>
      </c>
      <c r="U52" s="25">
        <f t="shared" si="12"/>
        <v>0</v>
      </c>
      <c r="V52" s="10"/>
      <c r="W52" s="10"/>
      <c r="X52" s="10"/>
      <c r="Y52" s="10"/>
      <c r="Z52" s="10"/>
      <c r="AA52" s="10"/>
      <c r="AB52" s="10"/>
    </row>
    <row r="53" spans="1:28" s="2" customFormat="1">
      <c r="A53" s="10"/>
      <c r="B53" s="10"/>
      <c r="C53" s="10"/>
      <c r="D53" s="10"/>
      <c r="E53" s="10"/>
      <c r="F53" s="10"/>
      <c r="G53" s="10"/>
      <c r="H53" s="10"/>
      <c r="I53" s="10"/>
      <c r="J53" s="10"/>
      <c r="K53" s="10"/>
      <c r="L53" s="10"/>
      <c r="M53" s="17"/>
      <c r="N53" s="18"/>
      <c r="O53" s="18"/>
      <c r="P53" s="19">
        <v>45265</v>
      </c>
      <c r="Q53" s="25">
        <v>0.23</v>
      </c>
      <c r="R53" s="10"/>
      <c r="S53" s="19">
        <f t="shared" si="10"/>
        <v>45265</v>
      </c>
      <c r="T53" s="25">
        <f t="shared" si="11"/>
        <v>4.6900000000000004</v>
      </c>
      <c r="U53" s="25">
        <f t="shared" si="12"/>
        <v>4.46</v>
      </c>
      <c r="V53" s="10"/>
      <c r="W53" s="10"/>
      <c r="X53" s="10"/>
      <c r="Y53" s="10"/>
      <c r="Z53" s="10"/>
      <c r="AA53" s="10"/>
      <c r="AB53" s="10"/>
    </row>
    <row r="54" spans="1:28" s="2" customFormat="1">
      <c r="A54" s="10"/>
      <c r="B54" s="10"/>
      <c r="C54" s="10"/>
      <c r="D54" s="10"/>
      <c r="E54" s="10"/>
      <c r="F54" s="10"/>
      <c r="G54" s="10"/>
      <c r="H54" s="10"/>
      <c r="I54" s="10"/>
      <c r="J54" s="10"/>
      <c r="K54" s="10"/>
      <c r="L54" s="10"/>
      <c r="M54" s="17"/>
      <c r="N54" s="18"/>
      <c r="O54" s="18"/>
      <c r="P54" s="19">
        <v>45281</v>
      </c>
      <c r="Q54" s="25">
        <v>5.4</v>
      </c>
      <c r="R54" s="10"/>
      <c r="S54" s="19">
        <f t="shared" si="10"/>
        <v>45281</v>
      </c>
      <c r="T54" s="25">
        <f t="shared" si="11"/>
        <v>1</v>
      </c>
      <c r="U54" s="25">
        <f t="shared" si="12"/>
        <v>-4.4000000000000004</v>
      </c>
      <c r="V54" s="10"/>
      <c r="W54" s="10"/>
      <c r="X54" s="10"/>
      <c r="Y54" s="10"/>
      <c r="Z54" s="10"/>
      <c r="AA54" s="10"/>
      <c r="AB54" s="10"/>
    </row>
    <row r="55" spans="1:28" s="2" customFormat="1">
      <c r="A55" s="10"/>
      <c r="B55" s="10"/>
      <c r="C55" s="10"/>
      <c r="D55" s="10"/>
      <c r="E55" s="10"/>
      <c r="F55" s="10"/>
      <c r="G55" s="10"/>
      <c r="H55" s="10"/>
      <c r="I55" s="10"/>
      <c r="J55" s="10"/>
      <c r="K55" s="10"/>
      <c r="L55" s="10"/>
      <c r="M55" s="17"/>
      <c r="N55" s="18"/>
      <c r="O55" s="18"/>
      <c r="P55" s="19">
        <v>45372</v>
      </c>
      <c r="Q55" s="25">
        <v>4.8</v>
      </c>
      <c r="R55" s="10"/>
      <c r="S55" s="19">
        <f t="shared" si="10"/>
        <v>45372</v>
      </c>
      <c r="T55" s="25">
        <f t="shared" si="11"/>
        <v>5.69</v>
      </c>
      <c r="U55" s="25">
        <f t="shared" si="12"/>
        <v>0.89</v>
      </c>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0.25" customHeight="1">
      <c r="A70" s="9">
        <v>4</v>
      </c>
      <c r="B70" s="9" t="str">
        <f>B48</f>
        <v>成都成电光信科技股份有限公司</v>
      </c>
      <c r="C70" s="9" t="str">
        <f t="shared" ref="C70:G70" si="13">C48</f>
        <v>成都市市场监督管理局</v>
      </c>
      <c r="D70" s="9" t="str">
        <f t="shared" si="13"/>
        <v>9151010057463511XR</v>
      </c>
      <c r="E70" s="9" t="str">
        <f t="shared" si="13"/>
        <v>民营</v>
      </c>
      <c r="F70" s="9" t="str">
        <f t="shared" si="13"/>
        <v>国家税务总局成都高新技术产业开发区税务局</v>
      </c>
      <c r="G70" s="9" t="str">
        <f t="shared" si="13"/>
        <v>1001300000746815（成都银行股份有限公司西区支行）</v>
      </c>
      <c r="H70" s="9" t="s">
        <v>71</v>
      </c>
      <c r="I70" s="9" t="s">
        <v>314</v>
      </c>
      <c r="J70" s="9" t="s">
        <v>84</v>
      </c>
      <c r="K70" s="9">
        <v>500</v>
      </c>
      <c r="L70" s="9" t="s">
        <v>322</v>
      </c>
      <c r="M70" s="20" t="s">
        <v>323</v>
      </c>
      <c r="N70" s="16">
        <v>44917</v>
      </c>
      <c r="O70" s="16">
        <v>45291</v>
      </c>
      <c r="P70" s="9">
        <f>P75-N70</f>
        <v>455</v>
      </c>
      <c r="Q70" s="22">
        <f>SUM(Q71:Q91)</f>
        <v>27.55</v>
      </c>
      <c r="R70" s="9">
        <v>7.7</v>
      </c>
      <c r="S70" s="9"/>
      <c r="T70" s="9">
        <f>SUM(T71:T91)</f>
        <v>28.44</v>
      </c>
      <c r="U70" s="9">
        <v>4.5</v>
      </c>
      <c r="V70" s="16"/>
      <c r="W70" s="9" t="s">
        <v>324</v>
      </c>
      <c r="X70" s="24">
        <v>1.4999999999999999E-2</v>
      </c>
      <c r="Y70" s="9">
        <f>ROUNDUP(IF((O70-N70+1)*K70*X70/365&gt;R70,R70,(O70-N70+1)*K70*X70/365),2)</f>
        <v>7.7</v>
      </c>
      <c r="Z70" s="9">
        <f>R70-Y70</f>
        <v>0</v>
      </c>
      <c r="AA70" s="9"/>
      <c r="AB70" s="9" t="s">
        <v>61</v>
      </c>
    </row>
    <row r="71" spans="1:28" s="2" customFormat="1">
      <c r="A71" s="10"/>
      <c r="B71" s="10"/>
      <c r="C71" s="10"/>
      <c r="D71" s="10"/>
      <c r="E71" s="10"/>
      <c r="F71" s="10"/>
      <c r="G71" s="10"/>
      <c r="H71" s="10"/>
      <c r="I71" s="10"/>
      <c r="J71" s="10"/>
      <c r="K71" s="10"/>
      <c r="L71" s="10"/>
      <c r="M71" s="17"/>
      <c r="N71" s="18"/>
      <c r="O71" s="16">
        <v>45647</v>
      </c>
      <c r="P71" s="19">
        <v>45006</v>
      </c>
      <c r="Q71" s="25">
        <v>5.56</v>
      </c>
      <c r="R71" s="10"/>
      <c r="S71" s="19">
        <f>P71</f>
        <v>45006</v>
      </c>
      <c r="T71" s="25">
        <f>(S71-N70)/360*$U$48*$K$48</f>
        <v>5.56</v>
      </c>
      <c r="U71" s="25">
        <f>T71-Q71</f>
        <v>0</v>
      </c>
      <c r="V71" s="18"/>
      <c r="W71" s="10"/>
      <c r="X71" s="10"/>
      <c r="Y71" s="10"/>
      <c r="Z71" s="10"/>
      <c r="AA71" s="10"/>
      <c r="AB71" s="10"/>
    </row>
    <row r="72" spans="1:28" s="2" customFormat="1">
      <c r="A72" s="10"/>
      <c r="B72" s="10"/>
      <c r="C72" s="10"/>
      <c r="D72" s="10"/>
      <c r="E72" s="10"/>
      <c r="F72" s="10"/>
      <c r="G72" s="10"/>
      <c r="H72" s="10"/>
      <c r="I72" s="10"/>
      <c r="J72" s="10"/>
      <c r="K72" s="10"/>
      <c r="L72" s="10"/>
      <c r="M72" s="17"/>
      <c r="N72" s="18"/>
      <c r="O72" s="18"/>
      <c r="P72" s="19">
        <v>45098</v>
      </c>
      <c r="Q72" s="25">
        <v>5.75</v>
      </c>
      <c r="R72" s="10"/>
      <c r="S72" s="19">
        <f t="shared" ref="S72:S75" si="14">P72</f>
        <v>45098</v>
      </c>
      <c r="T72" s="25">
        <f>(S72-S71)*$U$48*$K$48/360</f>
        <v>5.75</v>
      </c>
      <c r="U72" s="25">
        <f t="shared" ref="U72:U75" si="15">T72-Q72</f>
        <v>0</v>
      </c>
      <c r="V72" s="10"/>
      <c r="W72" s="10"/>
      <c r="X72" s="10"/>
      <c r="Y72" s="10"/>
      <c r="Z72" s="10"/>
      <c r="AA72" s="10"/>
      <c r="AB72" s="10"/>
    </row>
    <row r="73" spans="1:28" s="2" customFormat="1">
      <c r="A73" s="10"/>
      <c r="B73" s="10"/>
      <c r="C73" s="10"/>
      <c r="D73" s="10"/>
      <c r="E73" s="10"/>
      <c r="F73" s="10"/>
      <c r="G73" s="10"/>
      <c r="H73" s="10"/>
      <c r="I73" s="10"/>
      <c r="J73" s="10"/>
      <c r="K73" s="10"/>
      <c r="L73" s="10"/>
      <c r="M73" s="17"/>
      <c r="N73" s="18"/>
      <c r="O73" s="18"/>
      <c r="P73" s="19">
        <v>45190</v>
      </c>
      <c r="Q73" s="25">
        <v>5.75</v>
      </c>
      <c r="R73" s="10"/>
      <c r="S73" s="19">
        <f t="shared" si="14"/>
        <v>45190</v>
      </c>
      <c r="T73" s="25">
        <f t="shared" ref="T73:T75" si="16">(S73-S72)*$U$48*$K$48/360</f>
        <v>5.75</v>
      </c>
      <c r="U73" s="25">
        <f t="shared" si="15"/>
        <v>0</v>
      </c>
      <c r="V73" s="10"/>
      <c r="W73" s="10"/>
      <c r="X73" s="10"/>
      <c r="Y73" s="10"/>
      <c r="Z73" s="10"/>
      <c r="AA73" s="10"/>
      <c r="AB73" s="10"/>
    </row>
    <row r="74" spans="1:28" s="2" customFormat="1">
      <c r="A74" s="10"/>
      <c r="B74" s="10"/>
      <c r="C74" s="10"/>
      <c r="D74" s="10"/>
      <c r="E74" s="10"/>
      <c r="F74" s="10"/>
      <c r="G74" s="10"/>
      <c r="H74" s="10"/>
      <c r="I74" s="10"/>
      <c r="J74" s="10"/>
      <c r="K74" s="10"/>
      <c r="L74" s="10"/>
      <c r="M74" s="17"/>
      <c r="N74" s="18"/>
      <c r="O74" s="18"/>
      <c r="P74" s="19">
        <v>45281</v>
      </c>
      <c r="Q74" s="25">
        <v>5.69</v>
      </c>
      <c r="R74" s="10"/>
      <c r="S74" s="19">
        <f t="shared" si="14"/>
        <v>45281</v>
      </c>
      <c r="T74" s="25">
        <f t="shared" si="16"/>
        <v>5.69</v>
      </c>
      <c r="U74" s="25">
        <f t="shared" si="15"/>
        <v>0</v>
      </c>
      <c r="V74" s="10"/>
      <c r="W74" s="10"/>
      <c r="X74" s="10"/>
      <c r="Y74" s="10"/>
      <c r="Z74" s="10"/>
      <c r="AA74" s="10"/>
      <c r="AB74" s="10"/>
    </row>
    <row r="75" spans="1:28" s="2" customFormat="1">
      <c r="A75" s="10"/>
      <c r="B75" s="10"/>
      <c r="C75" s="10"/>
      <c r="D75" s="10"/>
      <c r="E75" s="10"/>
      <c r="F75" s="10"/>
      <c r="G75" s="10"/>
      <c r="H75" s="10"/>
      <c r="I75" s="10"/>
      <c r="J75" s="10"/>
      <c r="K75" s="10"/>
      <c r="L75" s="10"/>
      <c r="M75" s="17"/>
      <c r="N75" s="18"/>
      <c r="O75" s="18"/>
      <c r="P75" s="19">
        <v>45372</v>
      </c>
      <c r="Q75" s="25">
        <v>4.8</v>
      </c>
      <c r="R75" s="10"/>
      <c r="S75" s="19">
        <f t="shared" si="14"/>
        <v>45372</v>
      </c>
      <c r="T75" s="25">
        <f t="shared" si="16"/>
        <v>5.69</v>
      </c>
      <c r="U75" s="25">
        <f t="shared" si="15"/>
        <v>0.89</v>
      </c>
      <c r="V75" s="10"/>
      <c r="W75" s="10"/>
      <c r="X75" s="10"/>
      <c r="Y75" s="10"/>
      <c r="Z75" s="10"/>
      <c r="AA75" s="10"/>
      <c r="AB75" s="10"/>
    </row>
    <row r="76" spans="1:28" s="2" customFormat="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c r="A92" s="9">
        <v>5</v>
      </c>
      <c r="B92" s="9" t="str">
        <f>B70</f>
        <v>成都成电光信科技股份有限公司</v>
      </c>
      <c r="C92" s="9" t="str">
        <f t="shared" ref="C92:G92" si="17">C70</f>
        <v>成都市市场监督管理局</v>
      </c>
      <c r="D92" s="9" t="str">
        <f t="shared" si="17"/>
        <v>9151010057463511XR</v>
      </c>
      <c r="E92" s="9" t="str">
        <f t="shared" si="17"/>
        <v>民营</v>
      </c>
      <c r="F92" s="9" t="str">
        <f t="shared" si="17"/>
        <v>国家税务总局成都高新技术产业开发区税务局</v>
      </c>
      <c r="G92" s="9" t="str">
        <f t="shared" si="17"/>
        <v>1001300000746815（成都银行股份有限公司西区支行）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2550</v>
      </c>
      <c r="L114" s="9"/>
      <c r="M114" s="20"/>
      <c r="N114" s="16"/>
      <c r="O114" s="16"/>
      <c r="P114" s="9"/>
      <c r="Q114" s="9"/>
      <c r="R114" s="9">
        <f>R92+R70+R48+R26++R4</f>
        <v>44.53</v>
      </c>
      <c r="S114" s="9"/>
      <c r="T114" s="9"/>
      <c r="U114" s="9"/>
      <c r="V114" s="9"/>
      <c r="W114" s="9"/>
      <c r="X114" s="9"/>
      <c r="Y114" s="9">
        <f>Y92+Y70+Y48+Y26++Y4</f>
        <v>44.46</v>
      </c>
      <c r="Z114" s="9"/>
      <c r="AA114" s="9"/>
      <c r="AB114" s="9"/>
    </row>
    <row r="115" spans="1:28">
      <c r="I115" t="s">
        <v>49</v>
      </c>
      <c r="K115">
        <f>IF(K114&gt;3000,K116,K114)</f>
        <v>2550</v>
      </c>
    </row>
    <row r="116" spans="1:28">
      <c r="K116" t="s">
        <v>50</v>
      </c>
    </row>
  </sheetData>
  <autoFilter ref="A3:AD16" xr:uid="{00000000-0009-0000-0000-00001D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116"/>
  <sheetViews>
    <sheetView topLeftCell="H1" zoomScale="70" zoomScaleNormal="70" workbookViewId="0">
      <pane ySplit="3" topLeftCell="A4" activePane="bottomLeft" state="frozen"/>
      <selection pane="bottomLeft" activeCell="T123" sqref="T123"/>
    </sheetView>
  </sheetViews>
  <sheetFormatPr defaultColWidth="9" defaultRowHeight="14"/>
  <cols>
    <col min="7" max="7" width="9" customWidth="1"/>
    <col min="12" max="12" width="12.33203125"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成都迪真计算机科技有限公司审计明细表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325</v>
      </c>
      <c r="C4" s="9" t="s">
        <v>32</v>
      </c>
      <c r="D4" s="9" t="s">
        <v>326</v>
      </c>
      <c r="E4" s="9" t="s">
        <v>34</v>
      </c>
      <c r="F4" s="9" t="s">
        <v>327</v>
      </c>
      <c r="G4" s="9" t="s">
        <v>328</v>
      </c>
      <c r="H4" s="9" t="s">
        <v>71</v>
      </c>
      <c r="I4" s="9" t="s">
        <v>116</v>
      </c>
      <c r="J4" s="9" t="s">
        <v>168</v>
      </c>
      <c r="K4" s="9">
        <v>350</v>
      </c>
      <c r="L4" s="20" t="s">
        <v>329</v>
      </c>
      <c r="M4" s="20" t="s">
        <v>330</v>
      </c>
      <c r="N4" s="16">
        <v>45194</v>
      </c>
      <c r="O4" s="16">
        <v>45291</v>
      </c>
      <c r="P4" s="9">
        <f>P7-N4</f>
        <v>87</v>
      </c>
      <c r="Q4" s="22">
        <f>SUM(Q5:Q25)</f>
        <v>3.26</v>
      </c>
      <c r="R4" s="22">
        <v>1.4</v>
      </c>
      <c r="S4" s="9"/>
      <c r="T4" s="22">
        <f>SUM(T5:T25)</f>
        <v>3.34</v>
      </c>
      <c r="U4" s="23">
        <v>3.95E-2</v>
      </c>
      <c r="V4" s="16"/>
      <c r="W4" s="9" t="s">
        <v>42</v>
      </c>
      <c r="X4" s="24">
        <v>1.4999999999999999E-2</v>
      </c>
      <c r="Y4" s="9">
        <f>ROUNDDOWN(IF((O4-N4+1)*K4*X4/365&gt;R4,R4,(O4-N4+1)*K4*X4/365),2)</f>
        <v>1.4</v>
      </c>
      <c r="Z4" s="22">
        <f>R4-Y4</f>
        <v>0</v>
      </c>
      <c r="AA4" s="22"/>
      <c r="AB4" s="9" t="s">
        <v>61</v>
      </c>
      <c r="AD4" s="28">
        <f>(O4-N4+1)*K4*X4/365</f>
        <v>1.4096</v>
      </c>
    </row>
    <row r="5" spans="1:30" s="2" customFormat="1">
      <c r="A5" s="10"/>
      <c r="B5" s="10"/>
      <c r="C5" s="10"/>
      <c r="D5" s="10"/>
      <c r="E5" s="10"/>
      <c r="F5" s="10"/>
      <c r="G5" s="10"/>
      <c r="H5" s="10"/>
      <c r="I5" s="10"/>
      <c r="J5" s="10"/>
      <c r="K5" s="10"/>
      <c r="L5" s="10"/>
      <c r="M5" s="17"/>
      <c r="N5" s="18"/>
      <c r="O5" s="16">
        <v>45560</v>
      </c>
      <c r="P5" s="19">
        <v>45220</v>
      </c>
      <c r="Q5" s="25">
        <v>0.96</v>
      </c>
      <c r="R5" s="10"/>
      <c r="S5" s="19">
        <f>P5</f>
        <v>45220</v>
      </c>
      <c r="T5" s="25">
        <f>(S5-N4)/360*$U$4*$K$4</f>
        <v>1</v>
      </c>
      <c r="U5" s="25">
        <f>T5-Q5</f>
        <v>0.04</v>
      </c>
      <c r="V5" s="18"/>
      <c r="W5" s="10">
        <v>350</v>
      </c>
      <c r="X5" s="10"/>
      <c r="Y5" s="10">
        <f>ROUNDDOWN((V5-N4)*K4*X4/365,2)</f>
        <v>-650.04999999999995</v>
      </c>
      <c r="Z5" s="10"/>
      <c r="AA5" s="10"/>
      <c r="AB5" s="10"/>
    </row>
    <row r="6" spans="1:30" s="2" customFormat="1">
      <c r="A6" s="10"/>
      <c r="B6" s="10"/>
      <c r="C6" s="10"/>
      <c r="D6" s="10"/>
      <c r="E6" s="10"/>
      <c r="F6" s="10"/>
      <c r="G6" s="10"/>
      <c r="H6" s="10"/>
      <c r="I6" s="10"/>
      <c r="J6" s="10"/>
      <c r="K6" s="10"/>
      <c r="L6" s="10"/>
      <c r="M6" s="17"/>
      <c r="N6" s="18"/>
      <c r="O6" s="18"/>
      <c r="P6" s="19">
        <v>45251</v>
      </c>
      <c r="Q6" s="25">
        <v>1.1499999999999999</v>
      </c>
      <c r="R6" s="10"/>
      <c r="S6" s="19">
        <f t="shared" ref="S6:S7" si="0">P6</f>
        <v>45251</v>
      </c>
      <c r="T6" s="25">
        <f>(S6-S5)*$K$4*$U$4/360</f>
        <v>1.19</v>
      </c>
      <c r="U6" s="25">
        <f>T6-Q6</f>
        <v>0.04</v>
      </c>
      <c r="V6" s="10"/>
      <c r="W6" s="10"/>
      <c r="X6" s="10"/>
      <c r="Y6" s="10"/>
      <c r="Z6" s="10"/>
      <c r="AA6" s="10"/>
      <c r="AB6" s="10"/>
    </row>
    <row r="7" spans="1:30" s="2" customFormat="1">
      <c r="A7" s="10"/>
      <c r="B7" s="10"/>
      <c r="C7" s="10"/>
      <c r="D7" s="10"/>
      <c r="E7" s="10"/>
      <c r="F7" s="10"/>
      <c r="G7" s="10"/>
      <c r="H7" s="10"/>
      <c r="I7" s="10"/>
      <c r="J7" s="10"/>
      <c r="K7" s="10"/>
      <c r="L7" s="10"/>
      <c r="M7" s="17"/>
      <c r="N7" s="18"/>
      <c r="O7" s="18"/>
      <c r="P7" s="19">
        <v>45281</v>
      </c>
      <c r="Q7" s="25">
        <v>1.1499999999999999</v>
      </c>
      <c r="R7" s="10"/>
      <c r="S7" s="19">
        <f t="shared" si="0"/>
        <v>45281</v>
      </c>
      <c r="T7" s="25">
        <f t="shared" ref="T7" si="1">(S7-S6)*$K$4*$U$4/360</f>
        <v>1.1499999999999999</v>
      </c>
      <c r="U7" s="25">
        <f t="shared" ref="U7" si="2">T7-Q7</f>
        <v>0</v>
      </c>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hidden="1">
      <c r="A26" s="9">
        <v>2</v>
      </c>
      <c r="B26" s="9" t="str">
        <f>B4</f>
        <v>成都迪真计算机科技有限公司</v>
      </c>
      <c r="C26" s="9" t="str">
        <f t="shared" ref="C26:G26" si="3">C4</f>
        <v>成都高新技术产业开发区市场监督管理局</v>
      </c>
      <c r="D26" s="9" t="str">
        <f t="shared" si="3"/>
        <v>91510100327426521N</v>
      </c>
      <c r="E26" s="9" t="str">
        <f t="shared" si="3"/>
        <v>私营企业</v>
      </c>
      <c r="F26" s="9" t="str">
        <f t="shared" si="3"/>
        <v>高新税务局</v>
      </c>
      <c r="G26" s="9" t="str">
        <f t="shared" si="3"/>
        <v>4402203009100220530中国工商银行股份有限公司成都红牌楼支行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成都迪真计算机科技有限公司</v>
      </c>
      <c r="C48" s="9" t="str">
        <f t="shared" ref="C48:G48" si="7">C26</f>
        <v>成都高新技术产业开发区市场监督管理局</v>
      </c>
      <c r="D48" s="9" t="str">
        <f t="shared" si="7"/>
        <v>91510100327426521N</v>
      </c>
      <c r="E48" s="9" t="str">
        <f t="shared" si="7"/>
        <v>私营企业</v>
      </c>
      <c r="F48" s="9" t="str">
        <f t="shared" si="7"/>
        <v>高新税务局</v>
      </c>
      <c r="G48" s="9" t="str">
        <f t="shared" si="7"/>
        <v>4402203009100220530中国工商银行股份有限公司成都红牌楼支行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成都迪真计算机科技有限公司</v>
      </c>
      <c r="C70" s="9" t="str">
        <f t="shared" ref="C70:G70" si="10">C48</f>
        <v>成都高新技术产业开发区市场监督管理局</v>
      </c>
      <c r="D70" s="9" t="str">
        <f t="shared" si="10"/>
        <v>91510100327426521N</v>
      </c>
      <c r="E70" s="9" t="str">
        <f t="shared" si="10"/>
        <v>私营企业</v>
      </c>
      <c r="F70" s="9" t="str">
        <f t="shared" si="10"/>
        <v>高新税务局</v>
      </c>
      <c r="G70" s="9" t="str">
        <f t="shared" si="10"/>
        <v>4402203009100220530中国工商银行股份有限公司成都红牌楼支行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成都迪真计算机科技有限公司</v>
      </c>
      <c r="C92" s="9" t="str">
        <f t="shared" ref="C92:G92" si="11">C70</f>
        <v>成都高新技术产业开发区市场监督管理局</v>
      </c>
      <c r="D92" s="9" t="str">
        <f t="shared" si="11"/>
        <v>91510100327426521N</v>
      </c>
      <c r="E92" s="9" t="str">
        <f t="shared" si="11"/>
        <v>私营企业</v>
      </c>
      <c r="F92" s="9" t="str">
        <f t="shared" si="11"/>
        <v>高新税务局</v>
      </c>
      <c r="G92" s="9" t="str">
        <f t="shared" si="11"/>
        <v>4402203009100220530中国工商银行股份有限公司成都红牌楼支行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350</v>
      </c>
      <c r="L114" s="9"/>
      <c r="M114" s="20"/>
      <c r="N114" s="16"/>
      <c r="O114" s="16"/>
      <c r="P114" s="9"/>
      <c r="Q114" s="9"/>
      <c r="R114" s="9">
        <f>R92+R70+R48+R26++R4</f>
        <v>1.4</v>
      </c>
      <c r="S114" s="9"/>
      <c r="T114" s="9"/>
      <c r="U114" s="9"/>
      <c r="V114" s="9"/>
      <c r="W114" s="9"/>
      <c r="X114" s="9"/>
      <c r="Y114" s="9">
        <f>Y92+Y70+Y48+Y26++Y4</f>
        <v>1.4</v>
      </c>
      <c r="Z114" s="9"/>
      <c r="AA114" s="9"/>
      <c r="AB114" s="9"/>
    </row>
    <row r="115" spans="1:28">
      <c r="I115" t="s">
        <v>49</v>
      </c>
      <c r="K115">
        <f>IF(K114&gt;3000,K116,K114)</f>
        <v>350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D116"/>
  <sheetViews>
    <sheetView topLeftCell="G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迪威弗智能装备集团有限公司审计明细表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331</v>
      </c>
      <c r="C4" s="9" t="s">
        <v>32</v>
      </c>
      <c r="D4" s="9" t="s">
        <v>332</v>
      </c>
      <c r="E4" s="9" t="s">
        <v>146</v>
      </c>
      <c r="F4" s="9" t="s">
        <v>35</v>
      </c>
      <c r="G4" s="9" t="s">
        <v>333</v>
      </c>
      <c r="H4" s="9" t="s">
        <v>37</v>
      </c>
      <c r="I4" s="9" t="s">
        <v>334</v>
      </c>
      <c r="J4" s="9" t="s">
        <v>73</v>
      </c>
      <c r="K4" s="9">
        <v>200</v>
      </c>
      <c r="L4" s="9" t="s">
        <v>335</v>
      </c>
      <c r="M4" s="20" t="s">
        <v>335</v>
      </c>
      <c r="N4" s="16">
        <v>45243</v>
      </c>
      <c r="O4" s="16">
        <v>45291</v>
      </c>
      <c r="P4" s="9">
        <f>P6-N4</f>
        <v>129</v>
      </c>
      <c r="Q4" s="22">
        <f>SUM(Q5:Q25)</f>
        <v>2.4700000000000002</v>
      </c>
      <c r="R4" s="22">
        <v>0.26300000000000001</v>
      </c>
      <c r="S4" s="9"/>
      <c r="T4" s="22">
        <f>SUM(T5:T25)</f>
        <v>2.4700000000000002</v>
      </c>
      <c r="U4" s="23">
        <v>3.4500000000000003E-2</v>
      </c>
      <c r="V4" s="16"/>
      <c r="W4" s="9" t="s">
        <v>42</v>
      </c>
      <c r="X4" s="24">
        <v>0.01</v>
      </c>
      <c r="Y4" s="9">
        <f>ROUNDDOWN(IF((O4-N4+1)*K4*X4/365&gt;R4,R4,(O4-N4+1)*K4*X4/365),2)</f>
        <v>0.26</v>
      </c>
      <c r="Z4" s="22">
        <f>R4-Y4</f>
        <v>0</v>
      </c>
      <c r="AA4" s="22"/>
      <c r="AB4" s="9" t="s">
        <v>336</v>
      </c>
      <c r="AD4" s="28">
        <f>(O4-N4+1)*K4*X4/365</f>
        <v>0.26850000000000002</v>
      </c>
    </row>
    <row r="5" spans="1:30" s="2" customFormat="1">
      <c r="A5" s="10"/>
      <c r="B5" s="10"/>
      <c r="C5" s="10"/>
      <c r="D5" s="10"/>
      <c r="E5" s="10"/>
      <c r="F5" s="10"/>
      <c r="G5" s="10"/>
      <c r="H5" s="10"/>
      <c r="I5" s="10"/>
      <c r="J5" s="10"/>
      <c r="K5" s="10"/>
      <c r="L5" s="10"/>
      <c r="M5" s="17"/>
      <c r="N5" s="18"/>
      <c r="O5" s="16">
        <v>45608</v>
      </c>
      <c r="P5" s="19">
        <v>45281</v>
      </c>
      <c r="Q5" s="25">
        <v>0.73</v>
      </c>
      <c r="R5" s="10"/>
      <c r="S5" s="19">
        <f>P5</f>
        <v>45281</v>
      </c>
      <c r="T5" s="25">
        <f>(S5-N4)/360*$U$4*$K$4</f>
        <v>0.73</v>
      </c>
      <c r="U5" s="25">
        <f>T5-Q5</f>
        <v>0</v>
      </c>
      <c r="V5" s="18"/>
      <c r="W5" s="10"/>
      <c r="X5" s="10"/>
      <c r="Y5" s="10">
        <f>ROUNDDOWN((V5-N4)*K4*X4/365,2)</f>
        <v>-247.9</v>
      </c>
      <c r="Z5" s="10"/>
      <c r="AA5" s="10"/>
      <c r="AB5" s="10"/>
    </row>
    <row r="6" spans="1:30" s="2" customFormat="1">
      <c r="A6" s="10"/>
      <c r="B6" s="10"/>
      <c r="C6" s="10"/>
      <c r="D6" s="10"/>
      <c r="E6" s="10"/>
      <c r="F6" s="10"/>
      <c r="G6" s="10"/>
      <c r="H6" s="10"/>
      <c r="I6" s="10"/>
      <c r="J6" s="10"/>
      <c r="K6" s="10"/>
      <c r="L6" s="10"/>
      <c r="M6" s="17"/>
      <c r="N6" s="18"/>
      <c r="O6" s="18"/>
      <c r="P6" s="19">
        <v>45372</v>
      </c>
      <c r="Q6" s="25">
        <v>1.74</v>
      </c>
      <c r="R6" s="10"/>
      <c r="S6" s="19">
        <f t="shared" ref="S6" si="0">P6</f>
        <v>45372</v>
      </c>
      <c r="T6" s="25">
        <f>(S6-S5)*$K$4*$U$4/360</f>
        <v>1.74</v>
      </c>
      <c r="U6" s="25">
        <f>T6-Q6</f>
        <v>0</v>
      </c>
      <c r="V6" s="10"/>
      <c r="W6" s="10"/>
      <c r="X6" s="10"/>
      <c r="Y6" s="10"/>
      <c r="Z6" s="10"/>
      <c r="AA6" s="10"/>
      <c r="AB6" s="10"/>
    </row>
    <row r="7" spans="1:30" s="2" customFormat="1" hidden="1">
      <c r="A7" s="10"/>
      <c r="B7" s="10"/>
      <c r="C7" s="10"/>
      <c r="D7" s="10"/>
      <c r="E7" s="10"/>
      <c r="F7" s="10"/>
      <c r="G7" s="10"/>
      <c r="H7" s="10"/>
      <c r="I7" s="10"/>
      <c r="J7" s="10"/>
      <c r="K7" s="10"/>
      <c r="L7" s="10"/>
      <c r="M7" s="17"/>
      <c r="N7" s="18"/>
      <c r="O7" s="18"/>
      <c r="P7" s="19"/>
      <c r="Q7" s="25"/>
      <c r="R7" s="10"/>
      <c r="S7" s="19"/>
      <c r="T7" s="25"/>
      <c r="U7" s="25"/>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c r="A26" s="9">
        <v>2</v>
      </c>
      <c r="B26" s="9" t="str">
        <f>B4</f>
        <v>迪威弗智能装备集团有限公司</v>
      </c>
      <c r="C26" s="9" t="str">
        <f t="shared" ref="C26:G26" si="1">C4</f>
        <v>成都高新技术产业开发区市场监督管理局</v>
      </c>
      <c r="D26" s="9" t="str">
        <f t="shared" si="1"/>
        <v>91510100MA6AQHFC9J</v>
      </c>
      <c r="E26" s="9" t="str">
        <f t="shared" si="1"/>
        <v>有限责任公司</v>
      </c>
      <c r="F26" s="9" t="str">
        <f t="shared" si="1"/>
        <v>国家税务总局成都高新技术产业开发区税务局</v>
      </c>
      <c r="G26" s="9" t="str">
        <f t="shared" si="1"/>
        <v>开户行：中信银行光华支行</v>
      </c>
      <c r="H26" s="9" t="s">
        <v>71</v>
      </c>
      <c r="I26" s="9" t="s">
        <v>334</v>
      </c>
      <c r="J26" s="9" t="s">
        <v>73</v>
      </c>
      <c r="K26" s="9">
        <v>301</v>
      </c>
      <c r="L26" s="9" t="s">
        <v>337</v>
      </c>
      <c r="M26" s="20" t="s">
        <v>337</v>
      </c>
      <c r="N26" s="16">
        <v>45257</v>
      </c>
      <c r="O26" s="16">
        <v>45291</v>
      </c>
      <c r="P26" s="9">
        <f>P28-N26</f>
        <v>115</v>
      </c>
      <c r="Q26" s="22">
        <f>SUM(Q27:Q47)</f>
        <v>3.31</v>
      </c>
      <c r="R26" s="127">
        <v>0.42</v>
      </c>
      <c r="S26" s="9"/>
      <c r="T26" s="9">
        <f>SUM(T27:T47)</f>
        <v>3.31</v>
      </c>
      <c r="U26" s="23">
        <v>3.4500000000000003E-2</v>
      </c>
      <c r="V26" s="16"/>
      <c r="W26" s="9" t="s">
        <v>42</v>
      </c>
      <c r="X26" s="24">
        <v>1.4999999999999999E-2</v>
      </c>
      <c r="Y26" s="9">
        <f>ROUNDDOWN(IF((O26-N26+1)*K26*X26/365&gt;R26,R26,(O26-N26+1)*K26*X26/365),2)</f>
        <v>0.42</v>
      </c>
      <c r="Z26" s="127">
        <f>R26-Y26</f>
        <v>0</v>
      </c>
      <c r="AA26" s="9"/>
      <c r="AB26" s="9" t="s">
        <v>336</v>
      </c>
      <c r="AD26" s="1">
        <f>(O26-N26+1)*K26*X26/365</f>
        <v>0.43294520547945198</v>
      </c>
    </row>
    <row r="27" spans="1:30" s="2" customFormat="1" ht="42">
      <c r="A27" s="10"/>
      <c r="B27" s="10"/>
      <c r="C27" s="10"/>
      <c r="D27" s="10"/>
      <c r="E27" s="10"/>
      <c r="F27" s="10"/>
      <c r="G27" s="10"/>
      <c r="H27" s="10"/>
      <c r="I27" s="10"/>
      <c r="J27" s="10"/>
      <c r="K27" s="10"/>
      <c r="L27" s="10"/>
      <c r="M27" s="17" t="s">
        <v>338</v>
      </c>
      <c r="N27" s="18"/>
      <c r="O27" s="16">
        <v>45622</v>
      </c>
      <c r="P27" s="19">
        <v>45281</v>
      </c>
      <c r="Q27" s="25">
        <v>0.69</v>
      </c>
      <c r="R27" s="10"/>
      <c r="S27" s="19">
        <f>P27</f>
        <v>45281</v>
      </c>
      <c r="T27" s="25">
        <f>(S27-N26)/360*$U$26*$K$26</f>
        <v>0.69</v>
      </c>
      <c r="U27" s="25">
        <f>T27-Q27</f>
        <v>0</v>
      </c>
      <c r="V27" s="18"/>
      <c r="W27" s="10"/>
      <c r="X27" s="10"/>
      <c r="Y27" s="29">
        <f>ROUNDUP((V27-N26)*K26*X26/365,2)</f>
        <v>-559.83000000000004</v>
      </c>
      <c r="Z27" s="10"/>
      <c r="AA27" s="10"/>
      <c r="AB27" s="10"/>
    </row>
    <row r="28" spans="1:30" s="2" customFormat="1">
      <c r="A28" s="10"/>
      <c r="B28" s="10"/>
      <c r="C28" s="10"/>
      <c r="D28" s="10"/>
      <c r="E28" s="10"/>
      <c r="F28" s="10"/>
      <c r="G28" s="10"/>
      <c r="H28" s="10"/>
      <c r="I28" s="10"/>
      <c r="J28" s="10"/>
      <c r="K28" s="10"/>
      <c r="L28" s="10"/>
      <c r="M28" s="17"/>
      <c r="N28" s="18"/>
      <c r="O28" s="18"/>
      <c r="P28" s="19">
        <v>45372</v>
      </c>
      <c r="Q28" s="25">
        <v>2.62</v>
      </c>
      <c r="R28" s="10"/>
      <c r="S28" s="19">
        <f t="shared" ref="S28" si="2">P28</f>
        <v>45372</v>
      </c>
      <c r="T28" s="25">
        <f>(S28-S27)*$U$26*$K$26/360</f>
        <v>2.62</v>
      </c>
      <c r="U28" s="25">
        <f t="shared" ref="U28:U37" si="3">T28-Q28</f>
        <v>0</v>
      </c>
      <c r="V28" s="10"/>
      <c r="W28" s="10"/>
      <c r="X28" s="10"/>
      <c r="Y28" s="29">
        <f>ROUNDUP((O26-V27+1)*(K26-W27)*X26/365,2)</f>
        <v>560.26</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c r="T30" s="25"/>
      <c r="U30" s="25"/>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c r="T31" s="25"/>
      <c r="U31" s="25"/>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3"/>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迪威弗智能装备集团有限公司</v>
      </c>
      <c r="C48" s="9" t="str">
        <f t="shared" ref="C48:G48" si="4">C26</f>
        <v>成都高新技术产业开发区市场监督管理局</v>
      </c>
      <c r="D48" s="9" t="str">
        <f t="shared" si="4"/>
        <v>91510100MA6AQHFC9J</v>
      </c>
      <c r="E48" s="9" t="str">
        <f t="shared" si="4"/>
        <v>有限责任公司</v>
      </c>
      <c r="F48" s="9" t="str">
        <f t="shared" si="4"/>
        <v>国家税务总局成都高新技术产业开发区税务局</v>
      </c>
      <c r="G48" s="9" t="str">
        <f t="shared" si="4"/>
        <v>开户行：中信银行光华支行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5">P50</f>
        <v>0</v>
      </c>
      <c r="T50" s="25">
        <f>(S50-S49)*$U$48*$K$48/360</f>
        <v>0</v>
      </c>
      <c r="U50" s="25">
        <f t="shared" ref="U50" si="6">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迪威弗智能装备集团有限公司</v>
      </c>
      <c r="C70" s="9" t="str">
        <f t="shared" ref="C70:G70" si="7">C48</f>
        <v>成都高新技术产业开发区市场监督管理局</v>
      </c>
      <c r="D70" s="9" t="str">
        <f t="shared" si="7"/>
        <v>91510100MA6AQHFC9J</v>
      </c>
      <c r="E70" s="9" t="str">
        <f t="shared" si="7"/>
        <v>有限责任公司</v>
      </c>
      <c r="F70" s="9" t="str">
        <f t="shared" si="7"/>
        <v>国家税务总局成都高新技术产业开发区税务局</v>
      </c>
      <c r="G70" s="9" t="str">
        <f t="shared" si="7"/>
        <v>开户行：中信银行光华支行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迪威弗智能装备集团有限公司</v>
      </c>
      <c r="C92" s="9" t="str">
        <f t="shared" ref="C92:G92" si="8">C70</f>
        <v>成都高新技术产业开发区市场监督管理局</v>
      </c>
      <c r="D92" s="9" t="str">
        <f t="shared" si="8"/>
        <v>91510100MA6AQHFC9J</v>
      </c>
      <c r="E92" s="9" t="str">
        <f t="shared" si="8"/>
        <v>有限责任公司</v>
      </c>
      <c r="F92" s="9" t="str">
        <f t="shared" si="8"/>
        <v>国家税务总局成都高新技术产业开发区税务局</v>
      </c>
      <c r="G92" s="9" t="str">
        <f t="shared" si="8"/>
        <v>开户行：中信银行光华支行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501</v>
      </c>
      <c r="L114" s="9"/>
      <c r="M114" s="20"/>
      <c r="N114" s="16"/>
      <c r="O114" s="16"/>
      <c r="P114" s="9"/>
      <c r="Q114" s="9"/>
      <c r="R114" s="127">
        <f>R92+R70+R48+R26++R4</f>
        <v>0.68</v>
      </c>
      <c r="S114" s="9"/>
      <c r="T114" s="9"/>
      <c r="U114" s="9"/>
      <c r="V114" s="9"/>
      <c r="W114" s="9"/>
      <c r="X114" s="9"/>
      <c r="Y114" s="9">
        <f>Y92+Y70+Y48+Y26++Y4</f>
        <v>0.68</v>
      </c>
      <c r="Z114" s="9"/>
      <c r="AA114" s="9"/>
      <c r="AB114" s="9"/>
    </row>
    <row r="115" spans="1:28">
      <c r="I115" t="s">
        <v>49</v>
      </c>
      <c r="K115">
        <f>IF(K114&gt;3000,K116,K114)</f>
        <v>501</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D116"/>
  <sheetViews>
    <sheetView topLeftCell="F1" zoomScale="70" zoomScaleNormal="70" workbookViewId="0">
      <pane ySplit="3" topLeftCell="A5" activePane="bottomLeft" state="frozen"/>
      <selection pane="bottomLeft" activeCell="N26" sqref="N26:AB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成都华栖云科技有限公司审计明细表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339</v>
      </c>
      <c r="C4" s="9" t="s">
        <v>32</v>
      </c>
      <c r="D4" s="9" t="s">
        <v>340</v>
      </c>
      <c r="E4" s="9" t="s">
        <v>101</v>
      </c>
      <c r="F4" s="9" t="s">
        <v>35</v>
      </c>
      <c r="G4" s="9" t="s">
        <v>341</v>
      </c>
      <c r="H4" s="9" t="s">
        <v>71</v>
      </c>
      <c r="I4" s="9" t="s">
        <v>342</v>
      </c>
      <c r="J4" s="9" t="s">
        <v>343</v>
      </c>
      <c r="K4" s="9">
        <v>550</v>
      </c>
      <c r="L4" s="9" t="s">
        <v>344</v>
      </c>
      <c r="M4" s="20" t="s">
        <v>345</v>
      </c>
      <c r="N4" s="16">
        <v>44924</v>
      </c>
      <c r="O4" s="16">
        <v>45287</v>
      </c>
      <c r="P4" s="9">
        <f>P17-N4</f>
        <v>363</v>
      </c>
      <c r="Q4" s="22">
        <f>SUM(Q5:Q25)</f>
        <v>20.239999999999998</v>
      </c>
      <c r="R4" s="22">
        <v>8.25</v>
      </c>
      <c r="S4" s="9"/>
      <c r="T4" s="22">
        <f>SUM(T5:T25)</f>
        <v>20.239999999999998</v>
      </c>
      <c r="U4" s="23">
        <v>3.6499999999999998E-2</v>
      </c>
      <c r="V4" s="16"/>
      <c r="W4" s="9" t="s">
        <v>346</v>
      </c>
      <c r="X4" s="24">
        <v>1.4999999999999999E-2</v>
      </c>
      <c r="Y4" s="9">
        <f>ROUNDDOWN(IF((O4-N4+1)*K4*X4/365&gt;R4,R4,(O4-N4+1)*K4*X4/365),2)</f>
        <v>8.2200000000000006</v>
      </c>
      <c r="Z4" s="22">
        <f>R4-Y4</f>
        <v>0.03</v>
      </c>
      <c r="AA4" s="22" t="s">
        <v>108</v>
      </c>
      <c r="AB4" s="9" t="s">
        <v>61</v>
      </c>
      <c r="AD4" s="28">
        <f>(O4-N4+1)*K4*X4/365</f>
        <v>8.2273999999999994</v>
      </c>
    </row>
    <row r="5" spans="1:30" s="2" customFormat="1">
      <c r="A5" s="10"/>
      <c r="B5" s="10"/>
      <c r="C5" s="10"/>
      <c r="D5" s="10"/>
      <c r="E5" s="10"/>
      <c r="F5" s="10"/>
      <c r="G5" s="10"/>
      <c r="H5" s="10"/>
      <c r="I5" s="10"/>
      <c r="J5" s="10"/>
      <c r="K5" s="10"/>
      <c r="L5" s="10"/>
      <c r="M5" s="17"/>
      <c r="N5" s="18"/>
      <c r="O5" s="18"/>
      <c r="P5" s="19">
        <v>44946</v>
      </c>
      <c r="Q5" s="25">
        <f>0.11+1.12</f>
        <v>1.23</v>
      </c>
      <c r="R5" s="10"/>
      <c r="S5" s="19">
        <f>P5</f>
        <v>44946</v>
      </c>
      <c r="T5" s="25">
        <f>(S5-N4)/360*$U$4*$K$4</f>
        <v>1.23</v>
      </c>
      <c r="U5" s="25">
        <f>T5-Q5</f>
        <v>0</v>
      </c>
      <c r="V5" s="18">
        <v>45287</v>
      </c>
      <c r="W5" s="10">
        <v>550</v>
      </c>
      <c r="X5" s="10"/>
      <c r="Y5" s="10">
        <f>ROUNDDOWN((V5-N4)*K4*X4/365,2)</f>
        <v>8.1999999999999993</v>
      </c>
      <c r="Z5" s="10"/>
      <c r="AA5" s="10"/>
      <c r="AB5" s="10"/>
    </row>
    <row r="6" spans="1:30" s="2" customFormat="1">
      <c r="A6" s="10"/>
      <c r="B6" s="10"/>
      <c r="C6" s="10"/>
      <c r="D6" s="10"/>
      <c r="E6" s="10"/>
      <c r="F6" s="10"/>
      <c r="G6" s="10"/>
      <c r="H6" s="10"/>
      <c r="I6" s="10"/>
      <c r="J6" s="10"/>
      <c r="K6" s="10"/>
      <c r="L6" s="10"/>
      <c r="M6" s="17"/>
      <c r="N6" s="18"/>
      <c r="O6" s="18"/>
      <c r="P6" s="19">
        <v>44977</v>
      </c>
      <c r="Q6" s="25">
        <f>0.16+1.57</f>
        <v>1.73</v>
      </c>
      <c r="R6" s="10"/>
      <c r="S6" s="19">
        <f t="shared" ref="S6:S17" si="0">P6</f>
        <v>44977</v>
      </c>
      <c r="T6" s="25">
        <f>(S6-S5)*$K$4*$U$4/360</f>
        <v>1.73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45005</v>
      </c>
      <c r="Q7" s="25">
        <f>0.14+1.42</f>
        <v>1.56</v>
      </c>
      <c r="R7" s="10"/>
      <c r="S7" s="19">
        <f t="shared" si="0"/>
        <v>45005</v>
      </c>
      <c r="T7" s="25">
        <f t="shared" ref="T7:T17" si="1">(S7-S6)*$K$4*$U$4/360</f>
        <v>1.56</v>
      </c>
      <c r="U7" s="25">
        <f t="shared" ref="U7:U17"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45036</v>
      </c>
      <c r="Q8" s="25">
        <f>0.16+1.57</f>
        <v>1.73</v>
      </c>
      <c r="R8" s="10"/>
      <c r="S8" s="19">
        <f t="shared" si="0"/>
        <v>45036</v>
      </c>
      <c r="T8" s="25">
        <f t="shared" si="1"/>
        <v>1.73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45066</v>
      </c>
      <c r="Q9" s="25">
        <f>0.15+1.52</f>
        <v>1.67</v>
      </c>
      <c r="R9" s="10"/>
      <c r="S9" s="19">
        <f t="shared" si="0"/>
        <v>45066</v>
      </c>
      <c r="T9" s="25">
        <f t="shared" si="1"/>
        <v>1.67</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45097</v>
      </c>
      <c r="Q10" s="25">
        <f>0.16+1.57</f>
        <v>1.73</v>
      </c>
      <c r="R10" s="10"/>
      <c r="S10" s="19">
        <f t="shared" si="0"/>
        <v>45097</v>
      </c>
      <c r="T10" s="25">
        <f t="shared" si="1"/>
        <v>1.73</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45127</v>
      </c>
      <c r="Q11" s="25">
        <f>0.15+1.52</f>
        <v>1.67</v>
      </c>
      <c r="R11" s="10"/>
      <c r="S11" s="19">
        <f t="shared" si="0"/>
        <v>45127</v>
      </c>
      <c r="T11" s="25">
        <f t="shared" si="1"/>
        <v>1.67</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45158</v>
      </c>
      <c r="Q12" s="25">
        <f>0.16+1.57</f>
        <v>1.73</v>
      </c>
      <c r="R12" s="10"/>
      <c r="S12" s="19">
        <f t="shared" si="0"/>
        <v>45158</v>
      </c>
      <c r="T12" s="25">
        <f t="shared" si="1"/>
        <v>1.73</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45189</v>
      </c>
      <c r="Q13" s="25">
        <f>0.16+1.57</f>
        <v>1.73</v>
      </c>
      <c r="R13" s="10"/>
      <c r="S13" s="19">
        <f t="shared" si="0"/>
        <v>45189</v>
      </c>
      <c r="T13" s="25">
        <f t="shared" si="1"/>
        <v>1.73</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45219</v>
      </c>
      <c r="Q14" s="25">
        <f>0.15+1.52</f>
        <v>1.67</v>
      </c>
      <c r="R14" s="10"/>
      <c r="S14" s="19">
        <f t="shared" si="0"/>
        <v>45219</v>
      </c>
      <c r="T14" s="25">
        <f t="shared" si="1"/>
        <v>1.67</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45250</v>
      </c>
      <c r="Q15" s="25">
        <f>0.16+1.57</f>
        <v>1.73</v>
      </c>
      <c r="R15" s="10"/>
      <c r="S15" s="19">
        <f t="shared" si="0"/>
        <v>45250</v>
      </c>
      <c r="T15" s="25">
        <f t="shared" si="1"/>
        <v>1.73</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45280</v>
      </c>
      <c r="Q16" s="25">
        <f>0.15+1.52</f>
        <v>1.67</v>
      </c>
      <c r="R16" s="10"/>
      <c r="S16" s="19">
        <f t="shared" si="0"/>
        <v>45280</v>
      </c>
      <c r="T16" s="25">
        <f t="shared" si="1"/>
        <v>1.67</v>
      </c>
      <c r="U16" s="25">
        <f t="shared" si="2"/>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45287</v>
      </c>
      <c r="Q17" s="25">
        <f>0.04+0.35</f>
        <v>0.39</v>
      </c>
      <c r="R17" s="10"/>
      <c r="S17" s="19">
        <f t="shared" si="0"/>
        <v>45287</v>
      </c>
      <c r="T17" s="25">
        <f t="shared" si="1"/>
        <v>0.39</v>
      </c>
      <c r="U17" s="25">
        <f t="shared" si="2"/>
        <v>0</v>
      </c>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c r="A26" s="9">
        <v>2</v>
      </c>
      <c r="B26" s="9" t="str">
        <f>B4</f>
        <v>成都华栖云科技有限公司</v>
      </c>
      <c r="C26" s="9" t="str">
        <f t="shared" ref="C26:G26" si="3">C4</f>
        <v>成都高新技术产业开发区市场监督管理局</v>
      </c>
      <c r="D26" s="9" t="str">
        <f t="shared" si="3"/>
        <v>91510100MA61X50Q56</v>
      </c>
      <c r="E26" s="9" t="str">
        <f t="shared" si="3"/>
        <v>民营</v>
      </c>
      <c r="F26" s="9" t="str">
        <f t="shared" si="3"/>
        <v>国家税务总局成都高新技术产业开发区税务局</v>
      </c>
      <c r="G26" s="9" t="str">
        <f t="shared" si="3"/>
        <v>22808801040020732（中国农业银行成都高新技术产业开发区支行）</v>
      </c>
      <c r="H26" s="9" t="s">
        <v>71</v>
      </c>
      <c r="I26" s="9" t="s">
        <v>342</v>
      </c>
      <c r="J26" s="9" t="s">
        <v>343</v>
      </c>
      <c r="K26" s="9">
        <v>500</v>
      </c>
      <c r="L26" s="9" t="s">
        <v>347</v>
      </c>
      <c r="M26" s="20" t="s">
        <v>348</v>
      </c>
      <c r="N26" s="16">
        <v>44924</v>
      </c>
      <c r="O26" s="16">
        <v>45287</v>
      </c>
      <c r="P26" s="9">
        <f>P39-N26</f>
        <v>363</v>
      </c>
      <c r="Q26" s="22">
        <f>SUM(Q27:Q47)</f>
        <v>16.89</v>
      </c>
      <c r="R26" s="9">
        <v>7.5</v>
      </c>
      <c r="S26" s="9"/>
      <c r="T26" s="9">
        <f>SUM(T27:T47)</f>
        <v>16.89</v>
      </c>
      <c r="U26" s="23">
        <v>3.3500000000000002E-2</v>
      </c>
      <c r="V26" s="16"/>
      <c r="W26" s="9" t="s">
        <v>349</v>
      </c>
      <c r="X26" s="24">
        <v>1.4999999999999999E-2</v>
      </c>
      <c r="Y26" s="22">
        <f>ROUNDDOWN(IF((O26-N26+1)*K26*X26/365&gt;R26,R26,(O26-N26+1)*K26*X26/365),2)</f>
        <v>7.47</v>
      </c>
      <c r="Z26" s="9">
        <f>R26-Y26</f>
        <v>3.00000000000002E-2</v>
      </c>
      <c r="AA26" s="9" t="s">
        <v>108</v>
      </c>
      <c r="AB26" s="9" t="s">
        <v>61</v>
      </c>
      <c r="AD26" s="1">
        <f>(O26-N26+1)*K26*X26/365</f>
        <v>7.4794520547945202</v>
      </c>
    </row>
    <row r="27" spans="1:30" s="2" customFormat="1">
      <c r="A27" s="10"/>
      <c r="B27" s="10"/>
      <c r="C27" s="10"/>
      <c r="D27" s="10"/>
      <c r="E27" s="10"/>
      <c r="F27" s="10"/>
      <c r="G27" s="10"/>
      <c r="H27" s="10"/>
      <c r="I27" s="10"/>
      <c r="J27" s="10"/>
      <c r="K27" s="10"/>
      <c r="L27" s="10"/>
      <c r="M27" s="17"/>
      <c r="N27" s="18"/>
      <c r="O27" s="16"/>
      <c r="P27" s="19">
        <v>44946</v>
      </c>
      <c r="Q27" s="25">
        <v>1.02</v>
      </c>
      <c r="R27" s="10"/>
      <c r="S27" s="19">
        <f>P27</f>
        <v>44946</v>
      </c>
      <c r="T27" s="25">
        <f>(S27-N26)/360*$U$26*$K$26</f>
        <v>1.02</v>
      </c>
      <c r="U27" s="25">
        <f>T27-Q27</f>
        <v>0</v>
      </c>
      <c r="V27" s="18">
        <v>45287</v>
      </c>
      <c r="W27" s="10">
        <v>500</v>
      </c>
      <c r="X27" s="10"/>
      <c r="Y27" s="10">
        <f>ROUNDDOWN((V27-N26)*K26*X26/365,2)</f>
        <v>7.45</v>
      </c>
      <c r="Z27" s="10"/>
      <c r="AA27" s="10"/>
      <c r="AB27" s="10"/>
    </row>
    <row r="28" spans="1:30" s="2" customFormat="1">
      <c r="A28" s="10"/>
      <c r="B28" s="10"/>
      <c r="C28" s="10"/>
      <c r="D28" s="10"/>
      <c r="E28" s="10"/>
      <c r="F28" s="10"/>
      <c r="G28" s="10"/>
      <c r="H28" s="10"/>
      <c r="I28" s="10"/>
      <c r="J28" s="10"/>
      <c r="K28" s="10"/>
      <c r="L28" s="10"/>
      <c r="M28" s="17"/>
      <c r="N28" s="18"/>
      <c r="O28" s="18"/>
      <c r="P28" s="19">
        <v>44977</v>
      </c>
      <c r="Q28" s="25">
        <v>1.44</v>
      </c>
      <c r="R28" s="10"/>
      <c r="S28" s="19">
        <f t="shared" ref="S28:S36" si="4">P28</f>
        <v>44977</v>
      </c>
      <c r="T28" s="25">
        <f>(S28-S27)*$U$26*$K$26/360</f>
        <v>1.44</v>
      </c>
      <c r="U28" s="25">
        <f t="shared" ref="U28:U36" si="5">T28-Q28</f>
        <v>0</v>
      </c>
      <c r="V28" s="10"/>
      <c r="W28" s="10"/>
      <c r="X28" s="10"/>
      <c r="Y28" s="29"/>
      <c r="Z28" s="10"/>
      <c r="AA28" s="10"/>
      <c r="AB28" s="10"/>
    </row>
    <row r="29" spans="1:30" s="2" customFormat="1">
      <c r="A29" s="10"/>
      <c r="B29" s="10"/>
      <c r="C29" s="10"/>
      <c r="D29" s="10"/>
      <c r="E29" s="10"/>
      <c r="F29" s="10"/>
      <c r="G29" s="10"/>
      <c r="H29" s="10"/>
      <c r="I29" s="10"/>
      <c r="J29" s="10"/>
      <c r="K29" s="10"/>
      <c r="L29" s="10"/>
      <c r="M29" s="17"/>
      <c r="N29" s="18"/>
      <c r="O29" s="18"/>
      <c r="P29" s="19">
        <v>45005</v>
      </c>
      <c r="Q29" s="25">
        <v>1.3</v>
      </c>
      <c r="R29" s="10"/>
      <c r="S29" s="19">
        <f t="shared" si="4"/>
        <v>45005</v>
      </c>
      <c r="T29" s="25">
        <f t="shared" ref="T29:T36" si="6">(S29-S28)*$U$26*$K$26/360</f>
        <v>1.3</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45036</v>
      </c>
      <c r="Q30" s="25">
        <v>1.44</v>
      </c>
      <c r="R30" s="10"/>
      <c r="S30" s="19">
        <f t="shared" si="4"/>
        <v>45036</v>
      </c>
      <c r="T30" s="25">
        <f t="shared" si="6"/>
        <v>1.44</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45066</v>
      </c>
      <c r="Q31" s="25">
        <v>1.4</v>
      </c>
      <c r="R31" s="10"/>
      <c r="S31" s="19">
        <f t="shared" si="4"/>
        <v>45066</v>
      </c>
      <c r="T31" s="25">
        <f t="shared" si="6"/>
        <v>1.4</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45097</v>
      </c>
      <c r="Q32" s="25">
        <v>1.44</v>
      </c>
      <c r="R32" s="10"/>
      <c r="S32" s="19">
        <f t="shared" si="4"/>
        <v>45097</v>
      </c>
      <c r="T32" s="25">
        <f t="shared" si="6"/>
        <v>1.44</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45127</v>
      </c>
      <c r="Q33" s="25">
        <v>1.4</v>
      </c>
      <c r="R33" s="10"/>
      <c r="S33" s="19">
        <f t="shared" si="4"/>
        <v>45127</v>
      </c>
      <c r="T33" s="25">
        <f t="shared" si="6"/>
        <v>1.4</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45158</v>
      </c>
      <c r="Q34" s="25">
        <v>1.44</v>
      </c>
      <c r="R34" s="10"/>
      <c r="S34" s="19">
        <f t="shared" si="4"/>
        <v>45158</v>
      </c>
      <c r="T34" s="25">
        <f t="shared" si="6"/>
        <v>1.44</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45189</v>
      </c>
      <c r="Q35" s="25">
        <v>1.44</v>
      </c>
      <c r="R35" s="10"/>
      <c r="S35" s="19">
        <f t="shared" si="4"/>
        <v>45189</v>
      </c>
      <c r="T35" s="25">
        <f t="shared" si="6"/>
        <v>1.44</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45219</v>
      </c>
      <c r="Q36" s="25">
        <v>1.4</v>
      </c>
      <c r="R36" s="10"/>
      <c r="S36" s="19">
        <f t="shared" si="4"/>
        <v>45219</v>
      </c>
      <c r="T36" s="25">
        <f t="shared" si="6"/>
        <v>1.4</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45250</v>
      </c>
      <c r="Q37" s="25">
        <v>1.44</v>
      </c>
      <c r="R37" s="10"/>
      <c r="S37" s="19">
        <f t="shared" ref="S37:S39" si="7">P37</f>
        <v>45250</v>
      </c>
      <c r="T37" s="25">
        <f t="shared" ref="T37:T39" si="8">(S37-S36)*$U$26*$K$26/360</f>
        <v>1.44</v>
      </c>
      <c r="U37" s="25">
        <f t="shared" ref="U37:U39" si="9">T37-Q37</f>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45280</v>
      </c>
      <c r="Q38" s="25">
        <v>1.4</v>
      </c>
      <c r="R38" s="10"/>
      <c r="S38" s="19">
        <f t="shared" si="7"/>
        <v>45280</v>
      </c>
      <c r="T38" s="25">
        <f t="shared" si="8"/>
        <v>1.4</v>
      </c>
      <c r="U38" s="25">
        <f t="shared" si="9"/>
        <v>0</v>
      </c>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v>45287</v>
      </c>
      <c r="Q39" s="25">
        <v>0.33</v>
      </c>
      <c r="R39" s="10"/>
      <c r="S39" s="19">
        <f t="shared" si="7"/>
        <v>45287</v>
      </c>
      <c r="T39" s="25">
        <f t="shared" si="8"/>
        <v>0.33</v>
      </c>
      <c r="U39" s="25">
        <f t="shared" si="9"/>
        <v>0</v>
      </c>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成都华栖云科技有限公司</v>
      </c>
      <c r="C48" s="9" t="str">
        <f t="shared" ref="C48:G48" si="10">C26</f>
        <v>成都高新技术产业开发区市场监督管理局</v>
      </c>
      <c r="D48" s="9" t="str">
        <f t="shared" si="10"/>
        <v>91510100MA61X50Q56</v>
      </c>
      <c r="E48" s="9" t="str">
        <f t="shared" si="10"/>
        <v>民营</v>
      </c>
      <c r="F48" s="9" t="str">
        <f t="shared" si="10"/>
        <v>国家税务总局成都高新技术产业开发区税务局</v>
      </c>
      <c r="G48" s="9" t="str">
        <f t="shared" si="10"/>
        <v>22808801040020732（中国农业银行成都高新技术产业开发区支行）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1">P50</f>
        <v>0</v>
      </c>
      <c r="T50" s="25">
        <f>(S50-S49)*$U$48*$K$48/360</f>
        <v>0</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成都华栖云科技有限公司</v>
      </c>
      <c r="C70" s="9" t="str">
        <f t="shared" ref="C70:G70" si="13">C48</f>
        <v>成都高新技术产业开发区市场监督管理局</v>
      </c>
      <c r="D70" s="9" t="str">
        <f t="shared" si="13"/>
        <v>91510100MA61X50Q56</v>
      </c>
      <c r="E70" s="9" t="str">
        <f t="shared" si="13"/>
        <v>民营</v>
      </c>
      <c r="F70" s="9" t="str">
        <f t="shared" si="13"/>
        <v>国家税务总局成都高新技术产业开发区税务局</v>
      </c>
      <c r="G70" s="9" t="str">
        <f t="shared" si="13"/>
        <v>22808801040020732（中国农业银行成都高新技术产业开发区支行）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成都华栖云科技有限公司</v>
      </c>
      <c r="C92" s="9" t="str">
        <f t="shared" ref="C92:G92" si="14">C70</f>
        <v>成都高新技术产业开发区市场监督管理局</v>
      </c>
      <c r="D92" s="9" t="str">
        <f t="shared" si="14"/>
        <v>91510100MA61X50Q56</v>
      </c>
      <c r="E92" s="9" t="str">
        <f t="shared" si="14"/>
        <v>民营</v>
      </c>
      <c r="F92" s="9" t="str">
        <f t="shared" si="14"/>
        <v>国家税务总局成都高新技术产业开发区税务局</v>
      </c>
      <c r="G92" s="9" t="str">
        <f t="shared" si="14"/>
        <v>22808801040020732（中国农业银行成都高新技术产业开发区支行）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1050</v>
      </c>
      <c r="L114" s="9"/>
      <c r="M114" s="20"/>
      <c r="N114" s="16"/>
      <c r="O114" s="16"/>
      <c r="P114" s="9"/>
      <c r="Q114" s="9"/>
      <c r="R114" s="22">
        <f>R92+R70+R48+R26+R4</f>
        <v>15.75</v>
      </c>
      <c r="S114" s="9"/>
      <c r="T114" s="9"/>
      <c r="U114" s="9"/>
      <c r="V114" s="9"/>
      <c r="W114" s="9"/>
      <c r="X114" s="9"/>
      <c r="Y114" s="9">
        <f>Y92+Y70+Y48+Y26++Y4</f>
        <v>15.69</v>
      </c>
      <c r="Z114" s="9"/>
      <c r="AA114" s="9"/>
      <c r="AB114" s="9"/>
    </row>
    <row r="115" spans="1:28">
      <c r="I115" t="s">
        <v>49</v>
      </c>
      <c r="K115">
        <f>IF(K114&gt;3000,K116,K114)</f>
        <v>1050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116"/>
  <sheetViews>
    <sheetView topLeftCell="H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四川安迪科技实业有限公司审计明细表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350</v>
      </c>
      <c r="C4" s="9" t="s">
        <v>32</v>
      </c>
      <c r="D4" s="9" t="s">
        <v>351</v>
      </c>
      <c r="E4" s="9" t="s">
        <v>246</v>
      </c>
      <c r="F4" s="9" t="s">
        <v>35</v>
      </c>
      <c r="G4" s="9" t="s">
        <v>352</v>
      </c>
      <c r="H4" s="9" t="s">
        <v>71</v>
      </c>
      <c r="I4" s="9" t="s">
        <v>72</v>
      </c>
      <c r="J4" s="9" t="s">
        <v>39</v>
      </c>
      <c r="K4" s="9">
        <v>500</v>
      </c>
      <c r="L4" s="9" t="s">
        <v>353</v>
      </c>
      <c r="M4" s="20" t="s">
        <v>354</v>
      </c>
      <c r="N4" s="16">
        <v>44889</v>
      </c>
      <c r="O4" s="16">
        <v>45253</v>
      </c>
      <c r="P4" s="9">
        <f>P16-N4</f>
        <v>364</v>
      </c>
      <c r="Q4" s="22">
        <f>SUM(Q5:Q25)</f>
        <v>20.22</v>
      </c>
      <c r="R4" s="22">
        <v>7.5</v>
      </c>
      <c r="S4" s="9"/>
      <c r="T4" s="22">
        <f>SUM(T5:T25)</f>
        <v>20.22</v>
      </c>
      <c r="U4" s="23">
        <v>0.04</v>
      </c>
      <c r="V4" s="16"/>
      <c r="W4" s="9" t="s">
        <v>42</v>
      </c>
      <c r="X4" s="24">
        <v>1.4999999999999999E-2</v>
      </c>
      <c r="Y4" s="9">
        <f>ROUNDDOWN(IF((O4-N4+1)*K4*X4/365&gt;R4,R4,(O4-N4+1)*K4*X4/365),2)</f>
        <v>7.5</v>
      </c>
      <c r="Z4" s="22">
        <f>R4-Y4</f>
        <v>0</v>
      </c>
      <c r="AA4" s="22"/>
      <c r="AB4" s="9" t="s">
        <v>61</v>
      </c>
      <c r="AD4" s="28">
        <f>(O4-N4+1)*K4*X4/365</f>
        <v>7.5</v>
      </c>
    </row>
    <row r="5" spans="1:30" s="2" customFormat="1">
      <c r="A5" s="10"/>
      <c r="B5" s="10"/>
      <c r="C5" s="10"/>
      <c r="D5" s="10"/>
      <c r="E5" s="10"/>
      <c r="F5" s="10"/>
      <c r="G5" s="10"/>
      <c r="H5" s="10"/>
      <c r="I5" s="10"/>
      <c r="J5" s="10"/>
      <c r="K5" s="10"/>
      <c r="L5" s="10"/>
      <c r="M5" s="17"/>
      <c r="N5" s="18"/>
      <c r="O5" s="18"/>
      <c r="P5" s="19">
        <v>44916</v>
      </c>
      <c r="Q5" s="25">
        <v>1.5</v>
      </c>
      <c r="R5" s="10"/>
      <c r="S5" s="19">
        <f>P5</f>
        <v>44916</v>
      </c>
      <c r="T5" s="25">
        <f>(S5-N4)/360*$U$4*$K$4</f>
        <v>1.5</v>
      </c>
      <c r="U5" s="25">
        <f>T5-Q5</f>
        <v>0</v>
      </c>
      <c r="V5" s="18"/>
      <c r="W5" s="10"/>
      <c r="X5" s="10"/>
      <c r="Y5" s="10">
        <f>ROUNDDOWN((V5-N4)*K4*X4/365,2)</f>
        <v>-922.37</v>
      </c>
      <c r="Z5" s="10"/>
      <c r="AA5" s="10"/>
      <c r="AB5" s="10"/>
    </row>
    <row r="6" spans="1:30" s="2" customFormat="1">
      <c r="A6" s="10"/>
      <c r="B6" s="10"/>
      <c r="C6" s="10"/>
      <c r="D6" s="10"/>
      <c r="E6" s="10"/>
      <c r="F6" s="10"/>
      <c r="G6" s="10"/>
      <c r="H6" s="10"/>
      <c r="I6" s="10"/>
      <c r="J6" s="10"/>
      <c r="K6" s="10"/>
      <c r="L6" s="10"/>
      <c r="M6" s="17"/>
      <c r="N6" s="18"/>
      <c r="O6" s="18"/>
      <c r="P6" s="19">
        <v>44947</v>
      </c>
      <c r="Q6" s="25">
        <v>1.72</v>
      </c>
      <c r="R6" s="10"/>
      <c r="S6" s="19">
        <f t="shared" ref="S6:S16" si="0">P6</f>
        <v>44947</v>
      </c>
      <c r="T6" s="25">
        <f>(S6-S5)*$K$4*$U$4/360</f>
        <v>1.72</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44978</v>
      </c>
      <c r="Q7" s="25">
        <v>1.72</v>
      </c>
      <c r="R7" s="10"/>
      <c r="S7" s="19">
        <f t="shared" si="0"/>
        <v>44978</v>
      </c>
      <c r="T7" s="25">
        <f t="shared" ref="T7:T16" si="1">(S7-S6)*$K$4*$U$4/360</f>
        <v>1.72</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45006</v>
      </c>
      <c r="Q8" s="25">
        <v>1.56</v>
      </c>
      <c r="R8" s="10"/>
      <c r="S8" s="19">
        <f t="shared" si="0"/>
        <v>45006</v>
      </c>
      <c r="T8" s="25">
        <f t="shared" si="1"/>
        <v>1.56</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45037</v>
      </c>
      <c r="Q9" s="25">
        <v>1.72</v>
      </c>
      <c r="R9" s="10"/>
      <c r="S9" s="19">
        <f t="shared" si="0"/>
        <v>45037</v>
      </c>
      <c r="T9" s="25">
        <f t="shared" si="1"/>
        <v>1.72</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45067</v>
      </c>
      <c r="Q10" s="25">
        <v>1.67</v>
      </c>
      <c r="R10" s="10"/>
      <c r="S10" s="19">
        <f t="shared" si="0"/>
        <v>45067</v>
      </c>
      <c r="T10" s="25">
        <f t="shared" si="1"/>
        <v>1.67</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45098</v>
      </c>
      <c r="Q11" s="25">
        <v>1.72</v>
      </c>
      <c r="R11" s="10"/>
      <c r="S11" s="19">
        <f t="shared" si="0"/>
        <v>45098</v>
      </c>
      <c r="T11" s="25">
        <f t="shared" si="1"/>
        <v>1.72</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45128</v>
      </c>
      <c r="Q12" s="25">
        <v>1.67</v>
      </c>
      <c r="R12" s="10"/>
      <c r="S12" s="19">
        <f t="shared" si="0"/>
        <v>45128</v>
      </c>
      <c r="T12" s="25">
        <f t="shared" si="1"/>
        <v>1.67</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45159</v>
      </c>
      <c r="Q13" s="25">
        <v>1.72</v>
      </c>
      <c r="R13" s="10"/>
      <c r="S13" s="19">
        <f t="shared" si="0"/>
        <v>45159</v>
      </c>
      <c r="T13" s="25">
        <f t="shared" si="1"/>
        <v>1.72</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45190</v>
      </c>
      <c r="Q14" s="25">
        <v>1.72</v>
      </c>
      <c r="R14" s="10"/>
      <c r="S14" s="19">
        <f t="shared" si="0"/>
        <v>45190</v>
      </c>
      <c r="T14" s="25">
        <f t="shared" si="1"/>
        <v>1.72</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45220</v>
      </c>
      <c r="Q15" s="25">
        <v>1.67</v>
      </c>
      <c r="R15" s="10"/>
      <c r="S15" s="19">
        <f t="shared" si="0"/>
        <v>45220</v>
      </c>
      <c r="T15" s="25">
        <f t="shared" si="1"/>
        <v>1.67</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45253</v>
      </c>
      <c r="Q16" s="25">
        <v>1.83</v>
      </c>
      <c r="R16" s="10"/>
      <c r="S16" s="19">
        <f t="shared" si="0"/>
        <v>45253</v>
      </c>
      <c r="T16" s="25">
        <f t="shared" si="1"/>
        <v>1.83</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四川安迪科技实业有限公司</v>
      </c>
      <c r="C26" s="9" t="str">
        <f t="shared" ref="C26:G26" si="3">C4</f>
        <v>成都高新技术产业开发区市场监督管理局</v>
      </c>
      <c r="D26" s="9" t="str">
        <f t="shared" si="3"/>
        <v>91510100720357323F</v>
      </c>
      <c r="E26" s="9" t="str">
        <f t="shared" si="3"/>
        <v>有限责任公司（自然人投资或控股）</v>
      </c>
      <c r="F26" s="9" t="str">
        <f t="shared" si="3"/>
        <v>国家税务总局成都高新技术产业开发区税务局</v>
      </c>
      <c r="G26" s="9" t="str">
        <f t="shared" si="3"/>
        <v>22801501040022053 （农业银行成都府青路支行）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四川安迪科技实业有限公司</v>
      </c>
      <c r="C48" s="9" t="str">
        <f t="shared" ref="C48:G48" si="7">C26</f>
        <v>成都高新技术产业开发区市场监督管理局</v>
      </c>
      <c r="D48" s="9" t="str">
        <f t="shared" si="7"/>
        <v>91510100720357323F</v>
      </c>
      <c r="E48" s="9" t="str">
        <f t="shared" si="7"/>
        <v>有限责任公司（自然人投资或控股）</v>
      </c>
      <c r="F48" s="9" t="str">
        <f t="shared" si="7"/>
        <v>国家税务总局成都高新技术产业开发区税务局</v>
      </c>
      <c r="G48" s="9" t="str">
        <f t="shared" si="7"/>
        <v>22801501040022053 （农业银行成都府青路支行）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四川安迪科技实业有限公司</v>
      </c>
      <c r="C70" s="9" t="str">
        <f t="shared" ref="C70:G70" si="10">C48</f>
        <v>成都高新技术产业开发区市场监督管理局</v>
      </c>
      <c r="D70" s="9" t="str">
        <f t="shared" si="10"/>
        <v>91510100720357323F</v>
      </c>
      <c r="E70" s="9" t="str">
        <f t="shared" si="10"/>
        <v>有限责任公司（自然人投资或控股）</v>
      </c>
      <c r="F70" s="9" t="str">
        <f t="shared" si="10"/>
        <v>国家税务总局成都高新技术产业开发区税务局</v>
      </c>
      <c r="G70" s="9" t="str">
        <f t="shared" si="10"/>
        <v>22801501040022053 （农业银行成都府青路支行）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四川安迪科技实业有限公司</v>
      </c>
      <c r="C92" s="9" t="str">
        <f t="shared" ref="C92:G92" si="11">C70</f>
        <v>成都高新技术产业开发区市场监督管理局</v>
      </c>
      <c r="D92" s="9" t="str">
        <f t="shared" si="11"/>
        <v>91510100720357323F</v>
      </c>
      <c r="E92" s="9" t="str">
        <f t="shared" si="11"/>
        <v>有限责任公司（自然人投资或控股）</v>
      </c>
      <c r="F92" s="9" t="str">
        <f t="shared" si="11"/>
        <v>国家税务总局成都高新技术产业开发区税务局</v>
      </c>
      <c r="G92" s="9" t="str">
        <f t="shared" si="11"/>
        <v>22801501040022053 （农业银行成都府青路支行）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9">
        <f>R92+R70+R48+R26++R4</f>
        <v>7.5</v>
      </c>
      <c r="S114" s="9"/>
      <c r="T114" s="9"/>
      <c r="U114" s="9"/>
      <c r="V114" s="9"/>
      <c r="W114" s="9"/>
      <c r="X114" s="9"/>
      <c r="Y114" s="9">
        <f>Y92+Y70+Y48+Y26++Y4</f>
        <v>7.5</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D116"/>
  <sheetViews>
    <sheetView topLeftCell="G1" zoomScale="70" zoomScaleNormal="70" workbookViewId="0">
      <pane ySplit="3" topLeftCell="A5" activePane="bottomLeft" state="frozen"/>
      <selection pane="bottomLeft" activeCell="O30" sqref="O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成都汇辙科技有限公司审计明细表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355</v>
      </c>
      <c r="C4" s="9" t="s">
        <v>32</v>
      </c>
      <c r="D4" s="9" t="s">
        <v>356</v>
      </c>
      <c r="E4" s="9" t="s">
        <v>34</v>
      </c>
      <c r="F4" s="9" t="s">
        <v>154</v>
      </c>
      <c r="G4" s="9" t="s">
        <v>357</v>
      </c>
      <c r="H4" s="9" t="s">
        <v>37</v>
      </c>
      <c r="I4" s="9" t="s">
        <v>72</v>
      </c>
      <c r="J4" s="9" t="s">
        <v>39</v>
      </c>
      <c r="K4" s="9">
        <v>160</v>
      </c>
      <c r="L4" s="9" t="s">
        <v>358</v>
      </c>
      <c r="M4" s="20" t="s">
        <v>359</v>
      </c>
      <c r="N4" s="16">
        <v>45076</v>
      </c>
      <c r="O4" s="16">
        <v>45291</v>
      </c>
      <c r="P4" s="9">
        <f>P11-N4</f>
        <v>205</v>
      </c>
      <c r="Q4" s="22">
        <f>SUM(Q5:Q25)</f>
        <v>3.33</v>
      </c>
      <c r="R4" s="22">
        <v>0.94679999999999997</v>
      </c>
      <c r="S4" s="9"/>
      <c r="T4" s="22">
        <f>SUM(T5:T25)</f>
        <v>3.33</v>
      </c>
      <c r="U4" s="23">
        <v>3.6499999999999998E-2</v>
      </c>
      <c r="V4" s="16"/>
      <c r="W4" s="9" t="s">
        <v>42</v>
      </c>
      <c r="X4" s="24">
        <v>0.01</v>
      </c>
      <c r="Y4" s="9">
        <f>ROUNDDOWN(IF((O4-N4+1)*K4*X4/365&gt;R4,R4,(O4-N4+1)*K4*X4/365),2)</f>
        <v>0.94</v>
      </c>
      <c r="Z4" s="22">
        <f>R4-Y4</f>
        <v>0.01</v>
      </c>
      <c r="AA4" s="22" t="s">
        <v>43</v>
      </c>
      <c r="AB4" s="9" t="s">
        <v>61</v>
      </c>
      <c r="AD4" s="28">
        <f>(O4-N4+1)*K4*X4/365</f>
        <v>0.94679999999999997</v>
      </c>
    </row>
    <row r="5" spans="1:30" s="2" customFormat="1">
      <c r="A5" s="10"/>
      <c r="B5" s="10"/>
      <c r="C5" s="10"/>
      <c r="D5" s="10"/>
      <c r="E5" s="10"/>
      <c r="F5" s="10"/>
      <c r="G5" s="10"/>
      <c r="H5" s="10"/>
      <c r="I5" s="10"/>
      <c r="J5" s="10"/>
      <c r="K5" s="10"/>
      <c r="L5" s="10"/>
      <c r="M5" s="17"/>
      <c r="N5" s="18"/>
      <c r="O5" s="16">
        <v>45440</v>
      </c>
      <c r="P5" s="19">
        <v>45098</v>
      </c>
      <c r="Q5" s="114">
        <v>0.36</v>
      </c>
      <c r="R5" s="10"/>
      <c r="S5" s="19">
        <f>P5</f>
        <v>45098</v>
      </c>
      <c r="T5" s="25">
        <f>(S5-N4)/360*$U$4*$K$4</f>
        <v>0.36</v>
      </c>
      <c r="U5" s="25">
        <f>T5-Q5</f>
        <v>0</v>
      </c>
      <c r="V5" s="18"/>
      <c r="W5" s="10"/>
      <c r="X5" s="10"/>
      <c r="Y5" s="10">
        <f>ROUNDDOWN((V5-N4)*K4*X4/365,2)</f>
        <v>-197.59</v>
      </c>
      <c r="Z5" s="10"/>
      <c r="AA5" s="10"/>
      <c r="AB5" s="10"/>
    </row>
    <row r="6" spans="1:30" s="2" customFormat="1">
      <c r="A6" s="10"/>
      <c r="B6" s="10"/>
      <c r="C6" s="10"/>
      <c r="D6" s="10"/>
      <c r="E6" s="10"/>
      <c r="F6" s="10"/>
      <c r="G6" s="10"/>
      <c r="H6" s="10"/>
      <c r="I6" s="10"/>
      <c r="J6" s="10"/>
      <c r="K6" s="10"/>
      <c r="L6" s="10"/>
      <c r="M6" s="17"/>
      <c r="N6" s="18"/>
      <c r="O6" s="18"/>
      <c r="P6" s="19">
        <v>45128</v>
      </c>
      <c r="Q6" s="25">
        <v>0.49</v>
      </c>
      <c r="R6" s="10"/>
      <c r="S6" s="19">
        <f t="shared" ref="S6:S11" si="0">P6</f>
        <v>45128</v>
      </c>
      <c r="T6" s="25">
        <f>(S6-S5)*$K$4*$U$4/360</f>
        <v>0.49</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45159</v>
      </c>
      <c r="Q7" s="25">
        <v>0.5</v>
      </c>
      <c r="R7" s="10"/>
      <c r="S7" s="19">
        <f t="shared" si="0"/>
        <v>45159</v>
      </c>
      <c r="T7" s="25">
        <f t="shared" ref="T7:T11" si="1">(S7-S6)*$K$4*$U$4/360</f>
        <v>0.5</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45190</v>
      </c>
      <c r="Q8" s="25">
        <v>0.5</v>
      </c>
      <c r="R8" s="10"/>
      <c r="S8" s="19">
        <f t="shared" si="0"/>
        <v>45190</v>
      </c>
      <c r="T8" s="25">
        <f t="shared" si="1"/>
        <v>0.5</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45220</v>
      </c>
      <c r="Q9" s="25">
        <v>0.49</v>
      </c>
      <c r="R9" s="10"/>
      <c r="S9" s="19">
        <f t="shared" si="0"/>
        <v>45220</v>
      </c>
      <c r="T9" s="25">
        <f t="shared" si="1"/>
        <v>0.49</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45251</v>
      </c>
      <c r="Q10" s="25">
        <v>0.5</v>
      </c>
      <c r="R10" s="10"/>
      <c r="S10" s="19">
        <f t="shared" si="0"/>
        <v>45251</v>
      </c>
      <c r="T10" s="25">
        <f t="shared" si="1"/>
        <v>0.5</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45281</v>
      </c>
      <c r="Q11" s="25">
        <v>0.49</v>
      </c>
      <c r="R11" s="10"/>
      <c r="S11" s="19">
        <f t="shared" si="0"/>
        <v>45281</v>
      </c>
      <c r="T11" s="25">
        <f t="shared" si="1"/>
        <v>0.49</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c r="A26" s="9">
        <v>2</v>
      </c>
      <c r="B26" s="9" t="str">
        <f>B4</f>
        <v>成都汇辙科技有限公司</v>
      </c>
      <c r="C26" s="9" t="str">
        <f t="shared" ref="C26:G26" si="3">C4</f>
        <v>成都高新技术产业开发区市场监督管理局</v>
      </c>
      <c r="D26" s="9" t="str">
        <f t="shared" si="3"/>
        <v>91510100MA6CAUPX43</v>
      </c>
      <c r="E26" s="9" t="str">
        <f t="shared" si="3"/>
        <v>私营企业</v>
      </c>
      <c r="F26" s="9" t="str">
        <f t="shared" si="3"/>
        <v>成都高新技术产业开发区税务局</v>
      </c>
      <c r="G26" s="9" t="str">
        <f t="shared" si="3"/>
        <v>收款账号：03003551497  开户行：    上海银行成都高新支行</v>
      </c>
      <c r="H26" s="9" t="s">
        <v>37</v>
      </c>
      <c r="I26" s="9" t="s">
        <v>72</v>
      </c>
      <c r="J26" s="9" t="s">
        <v>39</v>
      </c>
      <c r="K26" s="9">
        <v>200</v>
      </c>
      <c r="L26" s="9" t="s">
        <v>360</v>
      </c>
      <c r="M26" s="20" t="s">
        <v>361</v>
      </c>
      <c r="N26" s="16">
        <v>45079</v>
      </c>
      <c r="O26" s="16">
        <v>45291</v>
      </c>
      <c r="P26" s="9">
        <f>P32-N26</f>
        <v>202</v>
      </c>
      <c r="Q26" s="22">
        <f>SUM(Q27:Q47)</f>
        <v>4.0999999999999996</v>
      </c>
      <c r="R26" s="127">
        <v>1.01</v>
      </c>
      <c r="S26" s="9"/>
      <c r="T26" s="9">
        <f>SUM(T27:T47)</f>
        <v>4.0999999999999996</v>
      </c>
      <c r="U26" s="23">
        <v>3.6499999999999998E-2</v>
      </c>
      <c r="V26" s="16"/>
      <c r="W26" s="9" t="s">
        <v>42</v>
      </c>
      <c r="X26" s="24">
        <v>0.01</v>
      </c>
      <c r="Y26" s="9">
        <f>ROUNDDOWN(IF((O26-N26+1)*K26*X26/365&gt;R26,R26,(O26-N26+1)*K26*X26/365),2)</f>
        <v>1.01</v>
      </c>
      <c r="Z26" s="9">
        <f>R26-Y26</f>
        <v>0</v>
      </c>
      <c r="AA26" s="22"/>
      <c r="AB26" s="9" t="s">
        <v>61</v>
      </c>
      <c r="AD26" s="1">
        <f>(O26-N26+1)*K26*X26/365</f>
        <v>1.1671232876712301</v>
      </c>
    </row>
    <row r="27" spans="1:30" s="2" customFormat="1">
      <c r="A27" s="10"/>
      <c r="B27" s="10"/>
      <c r="C27" s="10"/>
      <c r="D27" s="10"/>
      <c r="E27" s="10"/>
      <c r="F27" s="10"/>
      <c r="G27" s="10"/>
      <c r="H27" s="10"/>
      <c r="I27" s="10"/>
      <c r="J27" s="10"/>
      <c r="K27" s="10"/>
      <c r="L27" s="10"/>
      <c r="M27" s="17"/>
      <c r="N27" s="18"/>
      <c r="O27" s="16">
        <v>45442</v>
      </c>
      <c r="P27" s="19">
        <v>45128</v>
      </c>
      <c r="Q27" s="25">
        <v>0.99</v>
      </c>
      <c r="R27" s="10"/>
      <c r="S27" s="19">
        <f>P27</f>
        <v>45128</v>
      </c>
      <c r="T27" s="25">
        <f>(S27-N26)/360*$U$26*$K$26</f>
        <v>0.99</v>
      </c>
      <c r="U27" s="25">
        <f>T27-Q27</f>
        <v>0</v>
      </c>
      <c r="V27" s="18"/>
      <c r="W27" s="10"/>
      <c r="X27" s="10"/>
      <c r="Y27" s="29">
        <f>ROUNDDOWN((V27-N26)*K26*X26/365,2)</f>
        <v>-247</v>
      </c>
      <c r="Z27" s="10"/>
      <c r="AA27" s="10"/>
      <c r="AB27" s="10"/>
    </row>
    <row r="28" spans="1:30" s="2" customFormat="1">
      <c r="A28" s="10"/>
      <c r="B28" s="10"/>
      <c r="C28" s="10"/>
      <c r="D28" s="10"/>
      <c r="E28" s="10"/>
      <c r="F28" s="10"/>
      <c r="G28" s="10"/>
      <c r="H28" s="10"/>
      <c r="I28" s="10"/>
      <c r="J28" s="10"/>
      <c r="K28" s="10"/>
      <c r="L28" s="10"/>
      <c r="M28" s="17"/>
      <c r="N28" s="18"/>
      <c r="O28" s="18"/>
      <c r="P28" s="19">
        <v>45159</v>
      </c>
      <c r="Q28" s="25">
        <v>0.63</v>
      </c>
      <c r="R28" s="10"/>
      <c r="S28" s="19">
        <f t="shared" ref="S28:S32" si="4">P28</f>
        <v>45159</v>
      </c>
      <c r="T28" s="25">
        <f>(S28-S27)*$U$26*$K$26/360</f>
        <v>0.63</v>
      </c>
      <c r="U28" s="25">
        <f t="shared" ref="U28:U32" si="5">T28-Q28</f>
        <v>0</v>
      </c>
      <c r="V28" s="10"/>
      <c r="W28" s="10"/>
      <c r="X28" s="10"/>
      <c r="Y28" s="29">
        <f>ROUNDDOWN((O26-V27+1)*(K26-W27)*X26/365,2)</f>
        <v>248.17</v>
      </c>
      <c r="Z28" s="10"/>
      <c r="AA28" s="10"/>
      <c r="AB28" s="10"/>
    </row>
    <row r="29" spans="1:30" s="2" customFormat="1">
      <c r="A29" s="10"/>
      <c r="B29" s="10"/>
      <c r="C29" s="10"/>
      <c r="D29" s="10"/>
      <c r="E29" s="10"/>
      <c r="F29" s="10"/>
      <c r="G29" s="10"/>
      <c r="H29" s="10"/>
      <c r="I29" s="10"/>
      <c r="J29" s="10"/>
      <c r="K29" s="10"/>
      <c r="L29" s="10"/>
      <c r="M29" s="17"/>
      <c r="N29" s="18"/>
      <c r="O29" s="18"/>
      <c r="P29" s="19">
        <v>45190</v>
      </c>
      <c r="Q29" s="25">
        <v>0.63</v>
      </c>
      <c r="R29" s="10"/>
      <c r="S29" s="19">
        <f t="shared" si="4"/>
        <v>45190</v>
      </c>
      <c r="T29" s="25">
        <f t="shared" ref="T29:T32" si="6">(S29-S28)*$U$26*$K$26/360</f>
        <v>0.63</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45220</v>
      </c>
      <c r="Q30" s="25">
        <v>0.61</v>
      </c>
      <c r="R30" s="10"/>
      <c r="S30" s="19">
        <f t="shared" si="4"/>
        <v>45220</v>
      </c>
      <c r="T30" s="25">
        <f t="shared" si="6"/>
        <v>0.61</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45251</v>
      </c>
      <c r="Q31" s="25">
        <v>0.63</v>
      </c>
      <c r="R31" s="10"/>
      <c r="S31" s="19">
        <f t="shared" si="4"/>
        <v>45251</v>
      </c>
      <c r="T31" s="25">
        <f t="shared" si="6"/>
        <v>0.63</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45281</v>
      </c>
      <c r="Q32" s="25">
        <v>0.61</v>
      </c>
      <c r="R32" s="10"/>
      <c r="S32" s="19">
        <f t="shared" si="4"/>
        <v>45281</v>
      </c>
      <c r="T32" s="25">
        <f t="shared" si="6"/>
        <v>0.61</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成都汇辙科技有限公司</v>
      </c>
      <c r="C48" s="9" t="str">
        <f t="shared" ref="C48:G48" si="7">C26</f>
        <v>成都高新技术产业开发区市场监督管理局</v>
      </c>
      <c r="D48" s="9" t="str">
        <f t="shared" si="7"/>
        <v>91510100MA6CAUPX43</v>
      </c>
      <c r="E48" s="9" t="str">
        <f t="shared" si="7"/>
        <v>私营企业</v>
      </c>
      <c r="F48" s="9" t="str">
        <f t="shared" si="7"/>
        <v>成都高新技术产业开发区税务局</v>
      </c>
      <c r="G48" s="9" t="str">
        <f t="shared" si="7"/>
        <v>收款账号：03003551497  开户行：    上海银行成都高新支行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成都汇辙科技有限公司</v>
      </c>
      <c r="C70" s="9" t="str">
        <f t="shared" ref="C70:G70" si="10">C48</f>
        <v>成都高新技术产业开发区市场监督管理局</v>
      </c>
      <c r="D70" s="9" t="str">
        <f t="shared" si="10"/>
        <v>91510100MA6CAUPX43</v>
      </c>
      <c r="E70" s="9" t="str">
        <f t="shared" si="10"/>
        <v>私营企业</v>
      </c>
      <c r="F70" s="9" t="str">
        <f t="shared" si="10"/>
        <v>成都高新技术产业开发区税务局</v>
      </c>
      <c r="G70" s="9" t="str">
        <f t="shared" si="10"/>
        <v>收款账号：03003551497  开户行：    上海银行成都高新支行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成都汇辙科技有限公司</v>
      </c>
      <c r="C92" s="9" t="str">
        <f t="shared" ref="C92:G92" si="11">C70</f>
        <v>成都高新技术产业开发区市场监督管理局</v>
      </c>
      <c r="D92" s="9" t="str">
        <f t="shared" si="11"/>
        <v>91510100MA6CAUPX43</v>
      </c>
      <c r="E92" s="9" t="str">
        <f t="shared" si="11"/>
        <v>私营企业</v>
      </c>
      <c r="F92" s="9" t="str">
        <f t="shared" si="11"/>
        <v>成都高新技术产业开发区税务局</v>
      </c>
      <c r="G92" s="9" t="str">
        <f t="shared" si="11"/>
        <v>收款账号：03003551497  开户行：    上海银行成都高新支行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360</v>
      </c>
      <c r="L114" s="9"/>
      <c r="M114" s="20"/>
      <c r="N114" s="16"/>
      <c r="O114" s="16"/>
      <c r="P114" s="9"/>
      <c r="Q114" s="9"/>
      <c r="R114" s="22">
        <f>R92+R70+R48+R26+R4</f>
        <v>1.96</v>
      </c>
      <c r="S114" s="9"/>
      <c r="T114" s="9"/>
      <c r="U114" s="9"/>
      <c r="V114" s="9"/>
      <c r="W114" s="9"/>
      <c r="X114" s="9"/>
      <c r="Y114" s="9">
        <f>Y92+Y70+Y48+Y26++Y4</f>
        <v>1.95</v>
      </c>
      <c r="Z114" s="9"/>
      <c r="AA114" s="9"/>
      <c r="AB114" s="9"/>
    </row>
    <row r="115" spans="1:28">
      <c r="I115" t="s">
        <v>49</v>
      </c>
      <c r="K115">
        <f>IF(K114&gt;3000,K116,K114)</f>
        <v>360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6"/>
  <sheetViews>
    <sheetView zoomScale="70" zoomScaleNormal="70" workbookViewId="0">
      <pane ySplit="3" topLeftCell="A4" activePane="bottomLeft" state="frozen"/>
      <selection pane="bottomLeft" activeCell="J5" sqref="J5"/>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成都瑞迪威科技有限公司审计明细表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362</v>
      </c>
      <c r="C4" s="9" t="s">
        <v>32</v>
      </c>
      <c r="D4" s="9" t="s">
        <v>363</v>
      </c>
      <c r="E4" s="9" t="s">
        <v>146</v>
      </c>
      <c r="F4" s="9" t="s">
        <v>232</v>
      </c>
      <c r="G4" s="9" t="s">
        <v>364</v>
      </c>
      <c r="H4" s="9" t="s">
        <v>71</v>
      </c>
      <c r="I4" s="9" t="s">
        <v>167</v>
      </c>
      <c r="J4" s="9" t="s">
        <v>365</v>
      </c>
      <c r="K4" s="9">
        <v>500</v>
      </c>
      <c r="L4" s="9" t="s">
        <v>366</v>
      </c>
      <c r="M4" s="20" t="s">
        <v>367</v>
      </c>
      <c r="N4" s="15">
        <v>44890</v>
      </c>
      <c r="O4" s="16">
        <v>44991</v>
      </c>
      <c r="P4" s="9">
        <f>P8-N4</f>
        <v>101</v>
      </c>
      <c r="Q4" s="22">
        <f>SUM(Q5:Q25)</f>
        <v>5.6</v>
      </c>
      <c r="R4" s="22">
        <v>7.5</v>
      </c>
      <c r="S4" s="9"/>
      <c r="T4" s="22">
        <f>SUM(T5:T25)</f>
        <v>5.6</v>
      </c>
      <c r="U4" s="23">
        <v>0.04</v>
      </c>
      <c r="V4" s="16"/>
      <c r="W4" s="9" t="s">
        <v>368</v>
      </c>
      <c r="X4" s="24">
        <v>1.4999999999999999E-2</v>
      </c>
      <c r="Y4" s="9">
        <f>ROUNDDOWN(IF((O4-N4+1)*K4*X4/365&gt;R4,R4,(O4-N4+1)*K4*X4/365),2)</f>
        <v>2.09</v>
      </c>
      <c r="Z4" s="22">
        <f>R4-Y4</f>
        <v>5.41</v>
      </c>
      <c r="AA4" s="22" t="s">
        <v>108</v>
      </c>
      <c r="AB4" s="9" t="s">
        <v>61</v>
      </c>
      <c r="AD4" s="28">
        <f>(O4-N4+1)*K4*X4/365</f>
        <v>2.0958999999999999</v>
      </c>
    </row>
    <row r="5" spans="1:30" s="2" customFormat="1">
      <c r="A5" s="10"/>
      <c r="B5" s="10"/>
      <c r="C5" s="10"/>
      <c r="D5" s="10"/>
      <c r="E5" s="10"/>
      <c r="F5" s="10"/>
      <c r="G5" s="10"/>
      <c r="H5" s="10"/>
      <c r="I5" s="10"/>
      <c r="J5" s="10"/>
      <c r="K5" s="10"/>
      <c r="L5" s="10"/>
      <c r="M5" s="17"/>
      <c r="N5" s="18"/>
      <c r="O5" s="18"/>
      <c r="P5" s="19">
        <v>44916</v>
      </c>
      <c r="Q5" s="25">
        <v>1.44</v>
      </c>
      <c r="R5" s="10"/>
      <c r="S5" s="19">
        <f>P5</f>
        <v>44916</v>
      </c>
      <c r="T5" s="25">
        <f>(S5-N4)/360*$U$4*$K$4</f>
        <v>1.44</v>
      </c>
      <c r="U5" s="25">
        <f>T5-Q5</f>
        <v>0</v>
      </c>
      <c r="V5" s="18">
        <v>44991</v>
      </c>
      <c r="W5" s="10">
        <v>500</v>
      </c>
      <c r="X5" s="10"/>
      <c r="Y5" s="10">
        <f>ROUNDDOWN((V5-N4)*K4*X4/365,2)</f>
        <v>2.0699999999999998</v>
      </c>
      <c r="Z5" s="10"/>
      <c r="AA5" s="10"/>
      <c r="AB5" s="10"/>
    </row>
    <row r="6" spans="1:30" s="2" customFormat="1">
      <c r="A6" s="10"/>
      <c r="B6" s="10"/>
      <c r="C6" s="10"/>
      <c r="D6" s="10"/>
      <c r="E6" s="10"/>
      <c r="F6" s="10"/>
      <c r="G6" s="10"/>
      <c r="H6" s="10"/>
      <c r="I6" s="10"/>
      <c r="J6" s="10"/>
      <c r="K6" s="10"/>
      <c r="L6" s="10"/>
      <c r="M6" s="17"/>
      <c r="N6" s="18"/>
      <c r="O6" s="18"/>
      <c r="P6" s="19">
        <v>44947</v>
      </c>
      <c r="Q6" s="25">
        <v>1.72</v>
      </c>
      <c r="R6" s="10"/>
      <c r="S6" s="19">
        <f t="shared" ref="S6:S8" si="0">P6</f>
        <v>44947</v>
      </c>
      <c r="T6" s="25">
        <f>(S6-S5)*$K$4*$U$4/360</f>
        <v>1.72</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44978</v>
      </c>
      <c r="Q7" s="25">
        <v>1.72</v>
      </c>
      <c r="R7" s="10"/>
      <c r="S7" s="19">
        <f t="shared" si="0"/>
        <v>44978</v>
      </c>
      <c r="T7" s="25">
        <f t="shared" ref="T7:T8" si="1">(S7-S6)*$K$4*$U$4/360</f>
        <v>1.72</v>
      </c>
      <c r="U7" s="25">
        <f t="shared" ref="U7:U8"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44991</v>
      </c>
      <c r="Q8" s="25">
        <v>0.72</v>
      </c>
      <c r="R8" s="10"/>
      <c r="S8" s="19">
        <f t="shared" si="0"/>
        <v>44991</v>
      </c>
      <c r="T8" s="25">
        <f t="shared" si="1"/>
        <v>0.72</v>
      </c>
      <c r="U8" s="25">
        <f t="shared" si="2"/>
        <v>0</v>
      </c>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6.5" customHeight="1">
      <c r="A26" s="9">
        <v>2</v>
      </c>
      <c r="B26" s="9" t="str">
        <f>B4</f>
        <v>成都瑞迪威科技有限公司</v>
      </c>
      <c r="C26" s="9" t="str">
        <f t="shared" ref="C26:G26" si="3">C4</f>
        <v>成都高新技术产业开发区市场监督管理局</v>
      </c>
      <c r="D26" s="9" t="str">
        <f t="shared" si="3"/>
        <v>9151010009831180XG</v>
      </c>
      <c r="E26" s="9" t="str">
        <f t="shared" si="3"/>
        <v>有限责任公司</v>
      </c>
      <c r="F26" s="9" t="str">
        <f t="shared" si="3"/>
        <v>成都高新技术产业开发区</v>
      </c>
      <c r="G26" s="9" t="str">
        <f t="shared" si="3"/>
        <v>中国建设银行股份有限公司成都第九支行（51001498408051528901）</v>
      </c>
      <c r="H26" s="9" t="s">
        <v>71</v>
      </c>
      <c r="I26" s="9" t="s">
        <v>57</v>
      </c>
      <c r="J26" s="9" t="s">
        <v>365</v>
      </c>
      <c r="K26" s="9">
        <v>500</v>
      </c>
      <c r="L26" s="9" t="s">
        <v>369</v>
      </c>
      <c r="M26" s="20" t="s">
        <v>370</v>
      </c>
      <c r="N26" s="16">
        <v>44894</v>
      </c>
      <c r="O26" s="16">
        <v>45258</v>
      </c>
      <c r="P26" s="9">
        <f>P31-N26</f>
        <v>364</v>
      </c>
      <c r="Q26" s="22">
        <f>SUM(Q27:Q47)</f>
        <v>23.25</v>
      </c>
      <c r="R26" s="9">
        <v>7.5</v>
      </c>
      <c r="S26" s="9"/>
      <c r="T26" s="9">
        <f>SUM(T27:T47)</f>
        <v>23.26</v>
      </c>
      <c r="U26" s="23">
        <v>4.5999999999999999E-2</v>
      </c>
      <c r="V26" s="16"/>
      <c r="W26" s="9" t="s">
        <v>42</v>
      </c>
      <c r="X26" s="24">
        <v>1.4999999999999999E-2</v>
      </c>
      <c r="Y26" s="9">
        <f>ROUNDDOWN(IF((O26-N26+1)*K26*X26/365&gt;R26,R26,(O26-N26+1)*K26*X26/365),2)</f>
        <v>7.5</v>
      </c>
      <c r="Z26" s="9">
        <f>R26-Y26</f>
        <v>0</v>
      </c>
      <c r="AA26" s="9"/>
      <c r="AB26" s="9" t="s">
        <v>61</v>
      </c>
      <c r="AD26" s="1">
        <f>(O26-N26+1)*K26*X26/365</f>
        <v>7.5</v>
      </c>
    </row>
    <row r="27" spans="1:30" s="2" customFormat="1">
      <c r="A27" s="10"/>
      <c r="B27" s="10"/>
      <c r="C27" s="10"/>
      <c r="D27" s="10"/>
      <c r="E27" s="10"/>
      <c r="F27" s="10"/>
      <c r="G27" s="10"/>
      <c r="H27" s="10"/>
      <c r="I27" s="10"/>
      <c r="J27" s="10"/>
      <c r="K27" s="10"/>
      <c r="L27" s="10"/>
      <c r="M27" s="17"/>
      <c r="N27" s="18"/>
      <c r="O27" s="16"/>
      <c r="P27" s="19">
        <v>44916</v>
      </c>
      <c r="Q27" s="25">
        <v>1.4</v>
      </c>
      <c r="R27" s="10"/>
      <c r="S27" s="19">
        <f>P27</f>
        <v>44916</v>
      </c>
      <c r="T27" s="25">
        <f>(S27-N26)/360*$U$26*$K$26</f>
        <v>1.41</v>
      </c>
      <c r="U27" s="25">
        <f>T27-Q27</f>
        <v>0.01</v>
      </c>
      <c r="V27" s="18"/>
      <c r="W27" s="10"/>
      <c r="X27" s="10"/>
      <c r="Y27" s="29">
        <f>ROUNDUP((V27-N26)*K26*X26/365,2)</f>
        <v>-922.48</v>
      </c>
      <c r="Z27" s="10"/>
      <c r="AA27" s="10"/>
      <c r="AB27" s="10"/>
    </row>
    <row r="28" spans="1:30" s="2" customFormat="1">
      <c r="A28" s="10"/>
      <c r="B28" s="10"/>
      <c r="C28" s="10"/>
      <c r="D28" s="10"/>
      <c r="E28" s="10"/>
      <c r="F28" s="10"/>
      <c r="G28" s="10"/>
      <c r="H28" s="10"/>
      <c r="I28" s="10"/>
      <c r="J28" s="10"/>
      <c r="K28" s="10"/>
      <c r="L28" s="10"/>
      <c r="M28" s="17"/>
      <c r="N28" s="18"/>
      <c r="O28" s="18"/>
      <c r="P28" s="19">
        <v>45006</v>
      </c>
      <c r="Q28" s="25">
        <v>5.75</v>
      </c>
      <c r="R28" s="10"/>
      <c r="S28" s="19">
        <f t="shared" ref="S28:S31" si="4">P28</f>
        <v>45006</v>
      </c>
      <c r="T28" s="25">
        <f>(S28-S27)*$U$26*$K$26/360</f>
        <v>5.75</v>
      </c>
      <c r="U28" s="25">
        <f t="shared" ref="U28:U31" si="5">T28-Q28</f>
        <v>0</v>
      </c>
      <c r="V28" s="10"/>
      <c r="W28" s="10"/>
      <c r="X28" s="10"/>
      <c r="Y28" s="29">
        <f>ROUNDUP((O26-V27+1)*(K26-W27)*X26/365,2)</f>
        <v>929.98</v>
      </c>
      <c r="Z28" s="10"/>
      <c r="AA28" s="10"/>
      <c r="AB28" s="10"/>
    </row>
    <row r="29" spans="1:30" s="2" customFormat="1">
      <c r="A29" s="10"/>
      <c r="B29" s="10"/>
      <c r="C29" s="10"/>
      <c r="D29" s="10"/>
      <c r="E29" s="10"/>
      <c r="F29" s="10"/>
      <c r="G29" s="10"/>
      <c r="H29" s="10"/>
      <c r="I29" s="10"/>
      <c r="J29" s="10"/>
      <c r="K29" s="10"/>
      <c r="L29" s="10"/>
      <c r="M29" s="17"/>
      <c r="N29" s="18"/>
      <c r="O29" s="18"/>
      <c r="P29" s="19">
        <v>45098</v>
      </c>
      <c r="Q29" s="25">
        <v>5.88</v>
      </c>
      <c r="R29" s="10"/>
      <c r="S29" s="19">
        <f t="shared" si="4"/>
        <v>45098</v>
      </c>
      <c r="T29" s="25">
        <f t="shared" ref="T29:T31" si="6">(S29-S28)*$U$26*$K$26/360</f>
        <v>5.88</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45190</v>
      </c>
      <c r="Q30" s="25">
        <v>5.88</v>
      </c>
      <c r="R30" s="10"/>
      <c r="S30" s="19">
        <f t="shared" si="4"/>
        <v>45190</v>
      </c>
      <c r="T30" s="25">
        <f t="shared" si="6"/>
        <v>5.88</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45258</v>
      </c>
      <c r="Q31" s="25">
        <v>4.34</v>
      </c>
      <c r="R31" s="10"/>
      <c r="S31" s="19">
        <f t="shared" si="4"/>
        <v>45258</v>
      </c>
      <c r="T31" s="25">
        <f t="shared" si="6"/>
        <v>4.34</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成都瑞迪威科技有限公司</v>
      </c>
      <c r="C48" s="9" t="str">
        <f t="shared" ref="C48:G48" si="7">C26</f>
        <v>成都高新技术产业开发区市场监督管理局</v>
      </c>
      <c r="D48" s="9" t="str">
        <f t="shared" si="7"/>
        <v>9151010009831180XG</v>
      </c>
      <c r="E48" s="9" t="str">
        <f t="shared" si="7"/>
        <v>有限责任公司</v>
      </c>
      <c r="F48" s="9" t="str">
        <f t="shared" si="7"/>
        <v>成都高新技术产业开发区</v>
      </c>
      <c r="G48" s="9" t="str">
        <f t="shared" si="7"/>
        <v>中国建设银行股份有限公司成都第九支行（51001498408051528901）</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成都瑞迪威科技有限公司</v>
      </c>
      <c r="C70" s="9" t="str">
        <f t="shared" ref="C70:G70" si="10">C48</f>
        <v>成都高新技术产业开发区市场监督管理局</v>
      </c>
      <c r="D70" s="9" t="str">
        <f t="shared" si="10"/>
        <v>9151010009831180XG</v>
      </c>
      <c r="E70" s="9" t="str">
        <f t="shared" si="10"/>
        <v>有限责任公司</v>
      </c>
      <c r="F70" s="9" t="str">
        <f t="shared" si="10"/>
        <v>成都高新技术产业开发区</v>
      </c>
      <c r="G70" s="9" t="str">
        <f t="shared" si="10"/>
        <v>中国建设银行股份有限公司成都第九支行（51001498408051528901）</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成都瑞迪威科技有限公司</v>
      </c>
      <c r="C92" s="9" t="str">
        <f t="shared" ref="C92:G92" si="11">C70</f>
        <v>成都高新技术产业开发区市场监督管理局</v>
      </c>
      <c r="D92" s="9" t="str">
        <f t="shared" si="11"/>
        <v>9151010009831180XG</v>
      </c>
      <c r="E92" s="9" t="str">
        <f t="shared" si="11"/>
        <v>有限责任公司</v>
      </c>
      <c r="F92" s="9" t="str">
        <f t="shared" si="11"/>
        <v>成都高新技术产业开发区</v>
      </c>
      <c r="G92" s="9" t="str">
        <f t="shared" si="11"/>
        <v>中国建设银行股份有限公司成都第九支行（51001498408051528901）</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15</v>
      </c>
      <c r="S114" s="9"/>
      <c r="T114" s="9"/>
      <c r="U114" s="9"/>
      <c r="V114" s="9"/>
      <c r="W114" s="9"/>
      <c r="X114" s="9"/>
      <c r="Y114" s="9">
        <f>Y92+Y70+Y48+Y26++Y4</f>
        <v>9.59</v>
      </c>
      <c r="Z114" s="9"/>
      <c r="AA114" s="9"/>
      <c r="AB114" s="9"/>
    </row>
    <row r="115" spans="1:28">
      <c r="I115" t="s">
        <v>49</v>
      </c>
      <c r="K115">
        <f>IF(K114&gt;3000,K116,K114)</f>
        <v>1000</v>
      </c>
    </row>
    <row r="116" spans="1:28">
      <c r="K116" t="s">
        <v>50</v>
      </c>
    </row>
  </sheetData>
  <autoFilter ref="A3:AD8" xr:uid="{00000000-0009-0000-0000-000023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116"/>
  <sheetViews>
    <sheetView topLeftCell="H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成都星云智联科技有限公司审计明细表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371</v>
      </c>
      <c r="C4" s="9" t="s">
        <v>32</v>
      </c>
      <c r="D4" s="9" t="s">
        <v>372</v>
      </c>
      <c r="E4" s="9" t="s">
        <v>373</v>
      </c>
      <c r="F4" s="9" t="s">
        <v>201</v>
      </c>
      <c r="G4" s="9" t="s">
        <v>374</v>
      </c>
      <c r="H4" s="9" t="s">
        <v>71</v>
      </c>
      <c r="I4" s="9" t="s">
        <v>375</v>
      </c>
      <c r="J4" s="9" t="s">
        <v>168</v>
      </c>
      <c r="K4" s="9">
        <v>1000</v>
      </c>
      <c r="L4" s="9" t="s">
        <v>376</v>
      </c>
      <c r="M4" s="20" t="s">
        <v>377</v>
      </c>
      <c r="N4" s="16">
        <v>45105</v>
      </c>
      <c r="O4" s="16">
        <v>45291</v>
      </c>
      <c r="P4" s="9">
        <f>P10-N4</f>
        <v>176</v>
      </c>
      <c r="Q4" s="22">
        <f>SUM(Q5:Q25)</f>
        <v>20.12</v>
      </c>
      <c r="R4" s="22">
        <v>7.64</v>
      </c>
      <c r="S4" s="9"/>
      <c r="T4" s="22">
        <f>SUM(T5:T25)</f>
        <v>20.12</v>
      </c>
      <c r="U4" s="23">
        <v>3.5000000000000003E-2</v>
      </c>
      <c r="V4" s="16"/>
      <c r="W4" s="9" t="s">
        <v>42</v>
      </c>
      <c r="X4" s="24">
        <v>1.4999999999999999E-2</v>
      </c>
      <c r="Y4" s="9">
        <f>ROUNDDOWN(IF((O4-N4+1)*K4*X4/365&gt;R4,R4,(O4-N4+1)*K4*X4/365),2)</f>
        <v>7.64</v>
      </c>
      <c r="Z4" s="22">
        <f>R4-Y4</f>
        <v>0</v>
      </c>
      <c r="AA4" s="22"/>
      <c r="AB4" s="9" t="s">
        <v>61</v>
      </c>
      <c r="AD4" s="28">
        <f>(O4-N4+1)*K4*X4/365</f>
        <v>7.6848999999999998</v>
      </c>
    </row>
    <row r="5" spans="1:30" s="2" customFormat="1">
      <c r="A5" s="10"/>
      <c r="B5" s="10"/>
      <c r="C5" s="10"/>
      <c r="D5" s="10"/>
      <c r="E5" s="10"/>
      <c r="F5" s="10"/>
      <c r="G5" s="10"/>
      <c r="H5" s="10"/>
      <c r="I5" s="10"/>
      <c r="J5" s="10"/>
      <c r="K5" s="10"/>
      <c r="L5" s="10"/>
      <c r="M5" s="17"/>
      <c r="N5" s="18"/>
      <c r="O5" s="16">
        <v>45470</v>
      </c>
      <c r="P5" s="19">
        <v>45128</v>
      </c>
      <c r="Q5" s="25">
        <v>2.2400000000000002</v>
      </c>
      <c r="R5" s="10"/>
      <c r="S5" s="19">
        <f>P5</f>
        <v>45128</v>
      </c>
      <c r="T5" s="25">
        <f>(S5-N4)/360*$U$4*$K$4</f>
        <v>2.2400000000000002</v>
      </c>
      <c r="U5" s="25">
        <f>T5-Q5</f>
        <v>0</v>
      </c>
      <c r="V5" s="18"/>
      <c r="W5" s="10"/>
      <c r="X5" s="10"/>
      <c r="Y5" s="10">
        <f>ROUNDDOWN((V5-N4)*K4*X4/365,2)</f>
        <v>-1853.63</v>
      </c>
      <c r="Z5" s="10"/>
      <c r="AA5" s="10"/>
      <c r="AB5" s="10"/>
    </row>
    <row r="6" spans="1:30" s="2" customFormat="1">
      <c r="A6" s="10"/>
      <c r="B6" s="10"/>
      <c r="C6" s="10"/>
      <c r="D6" s="10"/>
      <c r="E6" s="10"/>
      <c r="F6" s="10"/>
      <c r="G6" s="10"/>
      <c r="H6" s="10"/>
      <c r="I6" s="10"/>
      <c r="J6" s="10"/>
      <c r="K6" s="10"/>
      <c r="L6" s="10"/>
      <c r="M6" s="17"/>
      <c r="N6" s="18"/>
      <c r="O6" s="18"/>
      <c r="P6" s="19">
        <v>45159</v>
      </c>
      <c r="Q6" s="25">
        <v>3.01</v>
      </c>
      <c r="R6" s="10"/>
      <c r="S6" s="19">
        <f t="shared" ref="S6:S11" si="0">P6</f>
        <v>45159</v>
      </c>
      <c r="T6" s="25">
        <f>(S6-S5)*$K$4*$U$4/360</f>
        <v>3.01</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45190</v>
      </c>
      <c r="Q7" s="25">
        <v>3.01</v>
      </c>
      <c r="R7" s="10"/>
      <c r="S7" s="19">
        <f t="shared" si="0"/>
        <v>45190</v>
      </c>
      <c r="T7" s="25">
        <f t="shared" ref="T7:T11" si="1">(S7-S6)*$K$4*$U$4/360</f>
        <v>3.01</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45220</v>
      </c>
      <c r="Q8" s="25">
        <v>2.92</v>
      </c>
      <c r="R8" s="10"/>
      <c r="S8" s="19">
        <f t="shared" si="0"/>
        <v>45220</v>
      </c>
      <c r="T8" s="25">
        <f t="shared" si="1"/>
        <v>2.92</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45251</v>
      </c>
      <c r="Q9" s="25">
        <v>3.01</v>
      </c>
      <c r="R9" s="10"/>
      <c r="S9" s="19">
        <f t="shared" si="0"/>
        <v>45251</v>
      </c>
      <c r="T9" s="25">
        <f t="shared" si="1"/>
        <v>3.01</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45281</v>
      </c>
      <c r="Q10" s="25">
        <v>2.92</v>
      </c>
      <c r="R10" s="10"/>
      <c r="S10" s="19">
        <f t="shared" si="0"/>
        <v>45281</v>
      </c>
      <c r="T10" s="25">
        <f t="shared" si="1"/>
        <v>2.92</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45312</v>
      </c>
      <c r="Q11" s="25">
        <v>3.01</v>
      </c>
      <c r="R11" s="10"/>
      <c r="S11" s="19">
        <f t="shared" si="0"/>
        <v>45312</v>
      </c>
      <c r="T11" s="25">
        <f t="shared" si="1"/>
        <v>3.01</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成都星云智联科技有限公司</v>
      </c>
      <c r="C26" s="9" t="str">
        <f t="shared" ref="C26:G26" si="3">C4</f>
        <v>成都高新技术产业开发区市场监督管理局</v>
      </c>
      <c r="D26" s="9" t="str">
        <f t="shared" si="3"/>
        <v>91510100582616760L</v>
      </c>
      <c r="E26" s="9" t="str">
        <f t="shared" si="3"/>
        <v>国有</v>
      </c>
      <c r="F26" s="9" t="str">
        <f t="shared" si="3"/>
        <v>成都高新区税务局</v>
      </c>
      <c r="G26" s="9" t="str">
        <f t="shared" si="3"/>
        <v>51001885136051502905（中国建设银行股份有限公司成都沙湾支行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成都星云智联科技有限公司</v>
      </c>
      <c r="C48" s="9" t="str">
        <f t="shared" ref="C48:G48" si="7">C26</f>
        <v>成都高新技术产业开发区市场监督管理局</v>
      </c>
      <c r="D48" s="9" t="str">
        <f t="shared" si="7"/>
        <v>91510100582616760L</v>
      </c>
      <c r="E48" s="9" t="str">
        <f t="shared" si="7"/>
        <v>国有</v>
      </c>
      <c r="F48" s="9" t="str">
        <f t="shared" si="7"/>
        <v>成都高新区税务局</v>
      </c>
      <c r="G48" s="9" t="str">
        <f t="shared" si="7"/>
        <v>51001885136051502905（中国建设银行股份有限公司成都沙湾支行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成都星云智联科技有限公司</v>
      </c>
      <c r="C70" s="9" t="str">
        <f t="shared" ref="C70:G70" si="10">C48</f>
        <v>成都高新技术产业开发区市场监督管理局</v>
      </c>
      <c r="D70" s="9" t="str">
        <f t="shared" si="10"/>
        <v>91510100582616760L</v>
      </c>
      <c r="E70" s="9" t="str">
        <f t="shared" si="10"/>
        <v>国有</v>
      </c>
      <c r="F70" s="9" t="str">
        <f t="shared" si="10"/>
        <v>成都高新区税务局</v>
      </c>
      <c r="G70" s="9" t="str">
        <f t="shared" si="10"/>
        <v>51001885136051502905（中国建设银行股份有限公司成都沙湾支行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成都星云智联科技有限公司</v>
      </c>
      <c r="C92" s="9" t="str">
        <f t="shared" ref="C92:G92" si="11">C70</f>
        <v>成都高新技术产业开发区市场监督管理局</v>
      </c>
      <c r="D92" s="9" t="str">
        <f t="shared" si="11"/>
        <v>91510100582616760L</v>
      </c>
      <c r="E92" s="9" t="str">
        <f t="shared" si="11"/>
        <v>国有</v>
      </c>
      <c r="F92" s="9" t="str">
        <f t="shared" si="11"/>
        <v>成都高新区税务局</v>
      </c>
      <c r="G92" s="9" t="str">
        <f t="shared" si="11"/>
        <v>51001885136051502905（中国建设银行股份有限公司成都沙湾支行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7.64</v>
      </c>
      <c r="S114" s="9"/>
      <c r="T114" s="9"/>
      <c r="U114" s="9"/>
      <c r="V114" s="9"/>
      <c r="W114" s="9"/>
      <c r="X114" s="9"/>
      <c r="Y114" s="9">
        <f>Y92+Y70+Y48+Y26++Y4</f>
        <v>7.64</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116"/>
  <sheetViews>
    <sheetView topLeftCell="I1" zoomScale="70" zoomScaleNormal="70" workbookViewId="0">
      <pane ySplit="3" topLeftCell="A9" activePane="bottomLeft" state="frozen"/>
      <selection pane="bottomLeft" activeCell="AA11" sqref="AA11"/>
    </sheetView>
  </sheetViews>
  <sheetFormatPr defaultColWidth="9" defaultRowHeight="14"/>
  <cols>
    <col min="7" max="7" width="9" customWidth="1"/>
    <col min="13" max="13" width="9" style="3"/>
    <col min="14" max="15" width="10.75" style="4" customWidth="1"/>
    <col min="16" max="16" width="9.83203125" customWidth="1"/>
    <col min="18" max="18" width="9" style="144"/>
    <col min="19" max="19" width="9.83203125" customWidth="1"/>
    <col min="22" max="22" width="11.5" customWidth="1"/>
    <col min="25" max="25" width="11.75" customWidth="1"/>
    <col min="29" max="29" width="9" hidden="1" customWidth="1"/>
    <col min="30" max="30" width="11.75" customWidth="1"/>
  </cols>
  <sheetData>
    <row r="1" spans="1:30" ht="25">
      <c r="B1" s="154" t="str">
        <f>B4&amp;AC1</f>
        <v>成都明夷电子科技股份有限公司审计明细表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145" t="s">
        <v>21</v>
      </c>
      <c r="S3" s="7" t="s">
        <v>22</v>
      </c>
      <c r="T3" s="21" t="s">
        <v>23</v>
      </c>
      <c r="U3" s="7" t="s">
        <v>24</v>
      </c>
      <c r="V3" s="7" t="s">
        <v>25</v>
      </c>
      <c r="W3" s="7" t="s">
        <v>26</v>
      </c>
      <c r="X3" s="7" t="s">
        <v>27</v>
      </c>
      <c r="Y3" s="26" t="s">
        <v>28</v>
      </c>
      <c r="Z3" s="7" t="s">
        <v>29</v>
      </c>
      <c r="AA3" s="7" t="s">
        <v>30</v>
      </c>
      <c r="AB3" s="156"/>
      <c r="AC3" s="27"/>
    </row>
    <row r="4" spans="1:30" s="1" customFormat="1" ht="126">
      <c r="A4" s="9">
        <v>1</v>
      </c>
      <c r="B4" s="9" t="s">
        <v>378</v>
      </c>
      <c r="C4" s="9" t="s">
        <v>52</v>
      </c>
      <c r="D4" s="9" t="s">
        <v>379</v>
      </c>
      <c r="E4" s="9" t="s">
        <v>380</v>
      </c>
      <c r="F4" s="9" t="s">
        <v>201</v>
      </c>
      <c r="G4" s="9" t="s">
        <v>381</v>
      </c>
      <c r="H4" s="9" t="s">
        <v>156</v>
      </c>
      <c r="I4" s="9" t="s">
        <v>148</v>
      </c>
      <c r="J4" s="9" t="s">
        <v>73</v>
      </c>
      <c r="K4" s="9">
        <v>1500</v>
      </c>
      <c r="L4" s="9" t="s">
        <v>382</v>
      </c>
      <c r="M4" s="20" t="s">
        <v>383</v>
      </c>
      <c r="N4" s="16">
        <v>44924</v>
      </c>
      <c r="O4" s="16">
        <v>45285</v>
      </c>
      <c r="P4" s="9">
        <f>P16-N4</f>
        <v>361</v>
      </c>
      <c r="Q4" s="22">
        <f>SUM(Q5:Q25)</f>
        <v>54.15</v>
      </c>
      <c r="R4" s="146">
        <v>30</v>
      </c>
      <c r="S4" s="9"/>
      <c r="T4" s="22">
        <f>SUM(T5:T25)</f>
        <v>54.15</v>
      </c>
      <c r="U4" s="23">
        <v>3.5999999999999997E-2</v>
      </c>
      <c r="V4" s="16"/>
      <c r="W4" s="9" t="s">
        <v>42</v>
      </c>
      <c r="X4" s="24">
        <v>0.02</v>
      </c>
      <c r="Y4" s="9">
        <v>0</v>
      </c>
      <c r="Z4" s="22">
        <f>R4-Y4</f>
        <v>30</v>
      </c>
      <c r="AA4" s="33" t="s">
        <v>384</v>
      </c>
      <c r="AB4" s="9" t="s">
        <v>385</v>
      </c>
      <c r="AD4" s="28">
        <f>(O4-N4+1)*K4*X4/365</f>
        <v>29.753399999999999</v>
      </c>
    </row>
    <row r="5" spans="1:30" s="2" customFormat="1">
      <c r="A5" s="10"/>
      <c r="B5" s="10"/>
      <c r="C5" s="10"/>
      <c r="D5" s="10"/>
      <c r="E5" s="10"/>
      <c r="F5" s="10"/>
      <c r="G5" s="10"/>
      <c r="H5" s="10"/>
      <c r="I5" s="10"/>
      <c r="J5" s="10"/>
      <c r="K5" s="10"/>
      <c r="L5" s="10"/>
      <c r="M5" s="17"/>
      <c r="N5" s="18"/>
      <c r="O5" s="18"/>
      <c r="P5" s="19">
        <v>44947</v>
      </c>
      <c r="Q5" s="25">
        <v>3.45</v>
      </c>
      <c r="R5" s="116"/>
      <c r="S5" s="19">
        <f>P5</f>
        <v>44947</v>
      </c>
      <c r="T5" s="25">
        <f>(S5-N4)/360*$U$4*$K$4</f>
        <v>3.45</v>
      </c>
      <c r="U5" s="25">
        <f>T5-Q5</f>
        <v>0</v>
      </c>
      <c r="V5" s="18"/>
      <c r="W5" s="10"/>
      <c r="X5" s="10"/>
      <c r="Y5" s="10">
        <f>ROUNDDOWN((V5-N4)*K4*X4/365,2)</f>
        <v>-3692.38</v>
      </c>
      <c r="Z5" s="10"/>
      <c r="AA5" s="10"/>
      <c r="AB5" s="10"/>
    </row>
    <row r="6" spans="1:30" s="2" customFormat="1">
      <c r="A6" s="10"/>
      <c r="B6" s="10"/>
      <c r="C6" s="10"/>
      <c r="D6" s="10"/>
      <c r="E6" s="10"/>
      <c r="F6" s="10"/>
      <c r="G6" s="10"/>
      <c r="H6" s="10"/>
      <c r="I6" s="10"/>
      <c r="J6" s="10"/>
      <c r="K6" s="10"/>
      <c r="L6" s="10"/>
      <c r="M6" s="17"/>
      <c r="N6" s="18"/>
      <c r="O6" s="18"/>
      <c r="P6" s="19">
        <v>44978</v>
      </c>
      <c r="Q6" s="25">
        <v>4.6500000000000004</v>
      </c>
      <c r="R6" s="116"/>
      <c r="S6" s="19">
        <f t="shared" ref="S6:S16" si="0">P6</f>
        <v>44978</v>
      </c>
      <c r="T6" s="25">
        <f>(S6-S5)*$K$4*$U$4/360</f>
        <v>4.6500000000000004</v>
      </c>
      <c r="U6" s="25">
        <f>T6-Q6</f>
        <v>0</v>
      </c>
      <c r="V6" s="10"/>
      <c r="W6" s="10"/>
      <c r="X6" s="10">
        <f>O4-N4+1</f>
        <v>362</v>
      </c>
      <c r="Y6" s="10"/>
      <c r="Z6" s="10"/>
      <c r="AA6" s="10"/>
      <c r="AB6" s="10"/>
    </row>
    <row r="7" spans="1:30" s="2" customFormat="1">
      <c r="A7" s="10"/>
      <c r="B7" s="10"/>
      <c r="C7" s="10"/>
      <c r="D7" s="10"/>
      <c r="E7" s="10"/>
      <c r="F7" s="10"/>
      <c r="G7" s="10"/>
      <c r="H7" s="10"/>
      <c r="I7" s="10"/>
      <c r="J7" s="10"/>
      <c r="K7" s="10"/>
      <c r="L7" s="10"/>
      <c r="M7" s="17"/>
      <c r="N7" s="18"/>
      <c r="O7" s="18"/>
      <c r="P7" s="19">
        <v>45006</v>
      </c>
      <c r="Q7" s="25">
        <v>4.2</v>
      </c>
      <c r="R7" s="116"/>
      <c r="S7" s="19">
        <f t="shared" si="0"/>
        <v>45006</v>
      </c>
      <c r="T7" s="25">
        <f t="shared" ref="T7:T16" si="1">(S7-S6)*$K$4*$U$4/360</f>
        <v>4.2</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45037</v>
      </c>
      <c r="Q8" s="25">
        <v>4.6500000000000004</v>
      </c>
      <c r="R8" s="116"/>
      <c r="S8" s="19">
        <f t="shared" si="0"/>
        <v>45037</v>
      </c>
      <c r="T8" s="25">
        <f t="shared" si="1"/>
        <v>4.6500000000000004</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45067</v>
      </c>
      <c r="Q9" s="25">
        <v>4.5</v>
      </c>
      <c r="R9" s="116"/>
      <c r="S9" s="19">
        <f t="shared" si="0"/>
        <v>45067</v>
      </c>
      <c r="T9" s="25">
        <f t="shared" si="1"/>
        <v>4.5</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45098</v>
      </c>
      <c r="Q10" s="25">
        <v>4.6500000000000004</v>
      </c>
      <c r="R10" s="116"/>
      <c r="S10" s="19">
        <f t="shared" si="0"/>
        <v>45098</v>
      </c>
      <c r="T10" s="25">
        <f t="shared" si="1"/>
        <v>4.6500000000000004</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45128</v>
      </c>
      <c r="Q11" s="25">
        <v>4.5</v>
      </c>
      <c r="R11" s="116"/>
      <c r="S11" s="19">
        <f t="shared" si="0"/>
        <v>45128</v>
      </c>
      <c r="T11" s="25">
        <f t="shared" si="1"/>
        <v>4.5</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45159</v>
      </c>
      <c r="Q12" s="25">
        <v>4.6500000000000004</v>
      </c>
      <c r="R12" s="116"/>
      <c r="S12" s="19">
        <f t="shared" si="0"/>
        <v>45159</v>
      </c>
      <c r="T12" s="25">
        <f t="shared" si="1"/>
        <v>4.6500000000000004</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45190</v>
      </c>
      <c r="Q13" s="25">
        <v>4.6500000000000004</v>
      </c>
      <c r="R13" s="116"/>
      <c r="S13" s="19">
        <f t="shared" si="0"/>
        <v>45190</v>
      </c>
      <c r="T13" s="25">
        <f t="shared" si="1"/>
        <v>4.6500000000000004</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45220</v>
      </c>
      <c r="Q14" s="25">
        <v>4.5</v>
      </c>
      <c r="R14" s="116"/>
      <c r="S14" s="19">
        <f t="shared" si="0"/>
        <v>45220</v>
      </c>
      <c r="T14" s="25">
        <f t="shared" si="1"/>
        <v>4.5</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45251</v>
      </c>
      <c r="Q15" s="25">
        <v>4.6500000000000004</v>
      </c>
      <c r="R15" s="116"/>
      <c r="S15" s="19">
        <f t="shared" si="0"/>
        <v>45251</v>
      </c>
      <c r="T15" s="25">
        <f t="shared" si="1"/>
        <v>4.6500000000000004</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45285</v>
      </c>
      <c r="Q16" s="25">
        <v>5.0999999999999996</v>
      </c>
      <c r="R16" s="116"/>
      <c r="S16" s="19">
        <f t="shared" si="0"/>
        <v>45285</v>
      </c>
      <c r="T16" s="25">
        <f t="shared" si="1"/>
        <v>5.0999999999999996</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16"/>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16"/>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16"/>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16"/>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16"/>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16"/>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16"/>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16"/>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16"/>
      <c r="S25" s="19"/>
      <c r="T25" s="25"/>
      <c r="U25" s="25"/>
      <c r="V25" s="10"/>
      <c r="W25" s="10"/>
      <c r="X25" s="10"/>
      <c r="Y25" s="10"/>
      <c r="Z25" s="10"/>
      <c r="AA25" s="10"/>
      <c r="AB25" s="10"/>
    </row>
    <row r="26" spans="1:30" s="1" customFormat="1" ht="70">
      <c r="A26" s="9">
        <v>2</v>
      </c>
      <c r="B26" s="9" t="str">
        <f>B4</f>
        <v>成都明夷电子科技股份有限公司</v>
      </c>
      <c r="C26" s="9" t="str">
        <f t="shared" ref="C26:G26" si="3">C4</f>
        <v>成都市市场监督管理局</v>
      </c>
      <c r="D26" s="9" t="str">
        <f t="shared" si="3"/>
        <v>91510100MA61R5XP4P</v>
      </c>
      <c r="E26" s="9" t="str">
        <f t="shared" si="3"/>
        <v>其他股份有限公司(非上市)</v>
      </c>
      <c r="F26" s="9" t="str">
        <f t="shared" si="3"/>
        <v>成都高新区税务局</v>
      </c>
      <c r="G26" s="9" t="str">
        <f t="shared" si="3"/>
        <v>1001300000717987（成都银行科技支行）</v>
      </c>
      <c r="H26" s="9" t="s">
        <v>71</v>
      </c>
      <c r="I26" s="9" t="s">
        <v>342</v>
      </c>
      <c r="J26" s="9" t="s">
        <v>73</v>
      </c>
      <c r="K26" s="9">
        <v>500</v>
      </c>
      <c r="L26" s="9" t="s">
        <v>386</v>
      </c>
      <c r="M26" s="20" t="s">
        <v>387</v>
      </c>
      <c r="N26" s="16">
        <v>45145</v>
      </c>
      <c r="O26" s="16">
        <v>45291</v>
      </c>
      <c r="P26" s="9">
        <f>P32-N26</f>
        <v>166</v>
      </c>
      <c r="Q26" s="22">
        <f>SUM(Q27:Q47)</f>
        <v>8.08</v>
      </c>
      <c r="R26" s="146">
        <v>3</v>
      </c>
      <c r="S26" s="9"/>
      <c r="T26" s="9">
        <f>SUM(T27:T47)</f>
        <v>8.08</v>
      </c>
      <c r="U26" s="23">
        <v>3.5000000000000003E-2</v>
      </c>
      <c r="V26" s="16"/>
      <c r="W26" s="9" t="s">
        <v>42</v>
      </c>
      <c r="X26" s="24">
        <v>1.4999999999999999E-2</v>
      </c>
      <c r="Y26" s="9">
        <f>ROUNDDOWN(IF((O26-N26+1)*K26*X26/365&gt;R26,R26,(O26-N26+1)*K26*X26/365),2)</f>
        <v>3</v>
      </c>
      <c r="Z26" s="146">
        <f>R26-Y26</f>
        <v>0</v>
      </c>
      <c r="AA26" s="9"/>
      <c r="AB26" s="9" t="s">
        <v>385</v>
      </c>
      <c r="AD26" s="1">
        <f>(O26-N26+1)*K26*X26/365</f>
        <v>3.0205479452054802</v>
      </c>
    </row>
    <row r="27" spans="1:30" s="2" customFormat="1">
      <c r="A27" s="10"/>
      <c r="B27" s="10"/>
      <c r="C27" s="10"/>
      <c r="D27" s="10"/>
      <c r="E27" s="10"/>
      <c r="F27" s="10"/>
      <c r="G27" s="10"/>
      <c r="H27" s="10"/>
      <c r="I27" s="10"/>
      <c r="J27" s="10"/>
      <c r="K27" s="10"/>
      <c r="L27" s="10"/>
      <c r="M27" s="17"/>
      <c r="N27" s="18"/>
      <c r="O27" s="16">
        <v>45510</v>
      </c>
      <c r="P27" s="19">
        <v>45158</v>
      </c>
      <c r="Q27" s="25">
        <v>0.63</v>
      </c>
      <c r="R27" s="116"/>
      <c r="S27" s="19">
        <f>P27</f>
        <v>45158</v>
      </c>
      <c r="T27" s="25">
        <f>(S27-N26)/360*$U$26*$K$26</f>
        <v>0.63</v>
      </c>
      <c r="U27" s="25">
        <f>T27-Q27</f>
        <v>0</v>
      </c>
      <c r="V27" s="18"/>
      <c r="W27" s="10"/>
      <c r="X27" s="10"/>
      <c r="Y27" s="29">
        <f>ROUNDUP((V27-N26)*K26*X26/365,2)</f>
        <v>-927.64</v>
      </c>
      <c r="Z27" s="10"/>
      <c r="AA27" s="10"/>
      <c r="AB27" s="10"/>
    </row>
    <row r="28" spans="1:30" s="2" customFormat="1">
      <c r="A28" s="10"/>
      <c r="B28" s="10"/>
      <c r="C28" s="10"/>
      <c r="D28" s="10"/>
      <c r="E28" s="10"/>
      <c r="F28" s="10"/>
      <c r="G28" s="10"/>
      <c r="H28" s="10"/>
      <c r="I28" s="10"/>
      <c r="J28" s="10"/>
      <c r="K28" s="10"/>
      <c r="L28" s="10"/>
      <c r="M28" s="17"/>
      <c r="N28" s="18"/>
      <c r="O28" s="18"/>
      <c r="P28" s="19">
        <v>45189</v>
      </c>
      <c r="Q28" s="25">
        <v>1.51</v>
      </c>
      <c r="R28" s="116"/>
      <c r="S28" s="19">
        <f t="shared" ref="S28:S32" si="4">P28</f>
        <v>45189</v>
      </c>
      <c r="T28" s="25">
        <f>(S28-S27)*$U$26*$K$26/360</f>
        <v>1.51</v>
      </c>
      <c r="U28" s="25">
        <f t="shared" ref="U28:U32" si="5">T28-Q28</f>
        <v>0</v>
      </c>
      <c r="V28" s="10"/>
      <c r="W28" s="10"/>
      <c r="X28" s="10"/>
      <c r="Y28" s="29">
        <f>ROUNDUP((O26-V27+1)*(K26-W27)*X26/365,2)</f>
        <v>930.66</v>
      </c>
      <c r="Z28" s="10"/>
      <c r="AA28" s="10"/>
      <c r="AB28" s="10"/>
    </row>
    <row r="29" spans="1:30" s="2" customFormat="1">
      <c r="A29" s="10"/>
      <c r="B29" s="10"/>
      <c r="C29" s="10"/>
      <c r="D29" s="10"/>
      <c r="E29" s="10"/>
      <c r="F29" s="10"/>
      <c r="G29" s="10"/>
      <c r="H29" s="10"/>
      <c r="I29" s="10"/>
      <c r="J29" s="10"/>
      <c r="K29" s="10"/>
      <c r="L29" s="10"/>
      <c r="M29" s="17"/>
      <c r="N29" s="18"/>
      <c r="O29" s="18"/>
      <c r="P29" s="19">
        <v>45219</v>
      </c>
      <c r="Q29" s="25">
        <v>1.46</v>
      </c>
      <c r="R29" s="116"/>
      <c r="S29" s="19">
        <f t="shared" si="4"/>
        <v>45219</v>
      </c>
      <c r="T29" s="25">
        <f t="shared" ref="T29:T32" si="6">(S29-S28)*$U$26*$K$26/360</f>
        <v>1.46</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45250</v>
      </c>
      <c r="Q30" s="25">
        <v>1.51</v>
      </c>
      <c r="R30" s="116"/>
      <c r="S30" s="19">
        <f t="shared" si="4"/>
        <v>45250</v>
      </c>
      <c r="T30" s="25">
        <f t="shared" si="6"/>
        <v>1.51</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45280</v>
      </c>
      <c r="Q31" s="25">
        <v>1.46</v>
      </c>
      <c r="R31" s="116"/>
      <c r="S31" s="19">
        <f t="shared" si="4"/>
        <v>45280</v>
      </c>
      <c r="T31" s="25">
        <f t="shared" si="6"/>
        <v>1.46</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45311</v>
      </c>
      <c r="Q32" s="25">
        <v>1.51</v>
      </c>
      <c r="R32" s="116"/>
      <c r="S32" s="19">
        <f t="shared" si="4"/>
        <v>45311</v>
      </c>
      <c r="T32" s="25">
        <f t="shared" si="6"/>
        <v>1.51</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16"/>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16"/>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16"/>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16"/>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16"/>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16"/>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16"/>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16"/>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16"/>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16"/>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16"/>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16"/>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16"/>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16"/>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16"/>
      <c r="S47" s="19"/>
      <c r="T47" s="25"/>
      <c r="U47" s="25"/>
      <c r="V47" s="10"/>
      <c r="W47" s="10"/>
      <c r="X47" s="10"/>
      <c r="Y47" s="10"/>
      <c r="Z47" s="10"/>
      <c r="AA47" s="10"/>
      <c r="AB47" s="10"/>
    </row>
    <row r="48" spans="1:28" s="1" customFormat="1" ht="70">
      <c r="A48" s="9">
        <v>3</v>
      </c>
      <c r="B48" s="9" t="str">
        <f>B26</f>
        <v>成都明夷电子科技股份有限公司</v>
      </c>
      <c r="C48" s="9" t="str">
        <f t="shared" ref="C48:G48" si="7">C26</f>
        <v>成都市市场监督管理局</v>
      </c>
      <c r="D48" s="9" t="str">
        <f t="shared" si="7"/>
        <v>91510100MA61R5XP4P</v>
      </c>
      <c r="E48" s="9" t="str">
        <f t="shared" si="7"/>
        <v>其他股份有限公司(非上市)</v>
      </c>
      <c r="F48" s="9" t="str">
        <f t="shared" si="7"/>
        <v>成都高新区税务局</v>
      </c>
      <c r="G48" s="9" t="str">
        <f t="shared" si="7"/>
        <v>1001300000717987（成都银行科技支行）</v>
      </c>
      <c r="H48" s="9" t="s">
        <v>71</v>
      </c>
      <c r="I48" s="9" t="s">
        <v>342</v>
      </c>
      <c r="J48" s="9" t="s">
        <v>73</v>
      </c>
      <c r="K48" s="9">
        <v>500</v>
      </c>
      <c r="L48" s="9" t="s">
        <v>386</v>
      </c>
      <c r="M48" s="20" t="s">
        <v>388</v>
      </c>
      <c r="N48" s="16">
        <v>45167</v>
      </c>
      <c r="O48" s="16">
        <v>45291</v>
      </c>
      <c r="P48" s="9">
        <f>P53-N48</f>
        <v>144</v>
      </c>
      <c r="Q48" s="22">
        <f>SUM(Q49:Q69)</f>
        <v>7.01</v>
      </c>
      <c r="R48" s="146">
        <v>2.5499999999999998</v>
      </c>
      <c r="S48" s="9"/>
      <c r="T48" s="9">
        <f>SUM(T49:T69)</f>
        <v>7.01</v>
      </c>
      <c r="U48" s="23">
        <v>3.5000000000000003E-2</v>
      </c>
      <c r="V48" s="16"/>
      <c r="W48" s="9" t="s">
        <v>42</v>
      </c>
      <c r="X48" s="24">
        <v>1.4999999999999999E-2</v>
      </c>
      <c r="Y48" s="9">
        <f>ROUNDUP(IF((O48-N48+1)*K48*X48/365&gt;R48,R48,(O48-N48+1)*K48*X48/365),2)</f>
        <v>2.5499999999999998</v>
      </c>
      <c r="Z48" s="30">
        <f>R48-Y48</f>
        <v>0</v>
      </c>
      <c r="AA48" s="30"/>
      <c r="AB48" s="9" t="s">
        <v>385</v>
      </c>
    </row>
    <row r="49" spans="1:28" s="2" customFormat="1">
      <c r="A49" s="10"/>
      <c r="B49" s="10"/>
      <c r="C49" s="10"/>
      <c r="D49" s="10"/>
      <c r="E49" s="10"/>
      <c r="F49" s="10"/>
      <c r="G49" s="10"/>
      <c r="H49" s="10"/>
      <c r="I49" s="10"/>
      <c r="J49" s="10"/>
      <c r="K49" s="10"/>
      <c r="L49" s="10"/>
      <c r="M49" s="17"/>
      <c r="N49" s="18"/>
      <c r="O49" s="16">
        <v>45532</v>
      </c>
      <c r="P49" s="19">
        <v>45189</v>
      </c>
      <c r="Q49" s="25">
        <v>1.07</v>
      </c>
      <c r="R49" s="116"/>
      <c r="S49" s="19">
        <f>P49</f>
        <v>45189</v>
      </c>
      <c r="T49" s="25">
        <f>(S49-N48)/360*$U$48*$K$48</f>
        <v>1.07</v>
      </c>
      <c r="U49" s="25">
        <f>T49-Q49</f>
        <v>0</v>
      </c>
      <c r="V49" s="18"/>
      <c r="W49" s="10"/>
      <c r="X49" s="10"/>
      <c r="Y49" s="10"/>
      <c r="Z49" s="10"/>
      <c r="AA49" s="10"/>
      <c r="AB49" s="10"/>
    </row>
    <row r="50" spans="1:28" s="2" customFormat="1">
      <c r="A50" s="10"/>
      <c r="B50" s="10"/>
      <c r="C50" s="10"/>
      <c r="D50" s="10"/>
      <c r="E50" s="10"/>
      <c r="F50" s="10"/>
      <c r="G50" s="10"/>
      <c r="H50" s="10"/>
      <c r="I50" s="10"/>
      <c r="J50" s="10"/>
      <c r="K50" s="10"/>
      <c r="L50" s="10"/>
      <c r="M50" s="17"/>
      <c r="N50" s="18"/>
      <c r="O50" s="18"/>
      <c r="P50" s="19">
        <v>45219</v>
      </c>
      <c r="Q50" s="25">
        <v>1.46</v>
      </c>
      <c r="R50" s="116"/>
      <c r="S50" s="19">
        <f t="shared" ref="S50:S53" si="8">P50</f>
        <v>45219</v>
      </c>
      <c r="T50" s="25">
        <f>(S50-S49)*$U$48*$K$48/360</f>
        <v>1.46</v>
      </c>
      <c r="U50" s="25">
        <f t="shared" ref="U50:U53" si="9">T50-Q50</f>
        <v>0</v>
      </c>
      <c r="V50" s="10"/>
      <c r="W50" s="10"/>
      <c r="X50" s="10"/>
      <c r="Y50" s="10"/>
      <c r="Z50" s="10"/>
      <c r="AA50" s="10"/>
      <c r="AB50" s="10"/>
    </row>
    <row r="51" spans="1:28" s="2" customFormat="1">
      <c r="A51" s="10"/>
      <c r="B51" s="10"/>
      <c r="C51" s="10"/>
      <c r="D51" s="10"/>
      <c r="E51" s="10"/>
      <c r="F51" s="10"/>
      <c r="G51" s="10"/>
      <c r="H51" s="10"/>
      <c r="I51" s="10"/>
      <c r="J51" s="10"/>
      <c r="K51" s="10"/>
      <c r="L51" s="10"/>
      <c r="M51" s="17"/>
      <c r="N51" s="18"/>
      <c r="O51" s="18"/>
      <c r="P51" s="19">
        <v>45250</v>
      </c>
      <c r="Q51" s="25">
        <v>1.51</v>
      </c>
      <c r="R51" s="116"/>
      <c r="S51" s="19">
        <f t="shared" si="8"/>
        <v>45250</v>
      </c>
      <c r="T51" s="25">
        <f t="shared" ref="T51:T53" si="10">(S51-S50)*$U$48*$K$48/360</f>
        <v>1.51</v>
      </c>
      <c r="U51" s="25">
        <f t="shared" si="9"/>
        <v>0</v>
      </c>
      <c r="V51" s="10"/>
      <c r="W51" s="10"/>
      <c r="X51" s="10"/>
      <c r="Y51" s="10"/>
      <c r="Z51" s="10"/>
      <c r="AA51" s="10"/>
      <c r="AB51" s="10"/>
    </row>
    <row r="52" spans="1:28" s="2" customFormat="1">
      <c r="A52" s="10"/>
      <c r="B52" s="10"/>
      <c r="C52" s="10"/>
      <c r="D52" s="10"/>
      <c r="E52" s="10"/>
      <c r="F52" s="10"/>
      <c r="G52" s="10"/>
      <c r="H52" s="10"/>
      <c r="I52" s="10"/>
      <c r="J52" s="10"/>
      <c r="K52" s="10"/>
      <c r="L52" s="10"/>
      <c r="M52" s="17"/>
      <c r="N52" s="18"/>
      <c r="O52" s="18"/>
      <c r="P52" s="19">
        <v>45280</v>
      </c>
      <c r="Q52" s="25">
        <v>1.46</v>
      </c>
      <c r="R52" s="116"/>
      <c r="S52" s="19">
        <f t="shared" si="8"/>
        <v>45280</v>
      </c>
      <c r="T52" s="25">
        <f t="shared" si="10"/>
        <v>1.46</v>
      </c>
      <c r="U52" s="25">
        <f t="shared" si="9"/>
        <v>0</v>
      </c>
      <c r="V52" s="10"/>
      <c r="W52" s="10"/>
      <c r="X52" s="10"/>
      <c r="Y52" s="10"/>
      <c r="Z52" s="10"/>
      <c r="AA52" s="10"/>
      <c r="AB52" s="10"/>
    </row>
    <row r="53" spans="1:28" s="2" customFormat="1">
      <c r="A53" s="10"/>
      <c r="B53" s="10"/>
      <c r="C53" s="10"/>
      <c r="D53" s="10"/>
      <c r="E53" s="10"/>
      <c r="F53" s="10"/>
      <c r="G53" s="10"/>
      <c r="H53" s="10"/>
      <c r="I53" s="10"/>
      <c r="J53" s="10"/>
      <c r="K53" s="10"/>
      <c r="L53" s="10"/>
      <c r="M53" s="17"/>
      <c r="N53" s="18"/>
      <c r="O53" s="18"/>
      <c r="P53" s="19">
        <v>45311</v>
      </c>
      <c r="Q53" s="25">
        <v>1.51</v>
      </c>
      <c r="R53" s="116"/>
      <c r="S53" s="19">
        <f t="shared" si="8"/>
        <v>45311</v>
      </c>
      <c r="T53" s="25">
        <f t="shared" si="10"/>
        <v>1.51</v>
      </c>
      <c r="U53" s="25">
        <f t="shared" si="9"/>
        <v>0</v>
      </c>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16"/>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16"/>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16"/>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16"/>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16"/>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16"/>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16"/>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16"/>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16"/>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16"/>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16"/>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16"/>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16"/>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16"/>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16"/>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16"/>
      <c r="S69" s="19"/>
      <c r="T69" s="25"/>
      <c r="U69" s="25"/>
      <c r="V69" s="10"/>
      <c r="W69" s="10"/>
      <c r="X69" s="10"/>
      <c r="Y69" s="10"/>
      <c r="Z69" s="10"/>
      <c r="AA69" s="10"/>
      <c r="AB69" s="10"/>
    </row>
    <row r="70" spans="1:28" s="1" customFormat="1" ht="70" hidden="1">
      <c r="A70" s="9">
        <v>4</v>
      </c>
      <c r="B70" s="9" t="str">
        <f>B48</f>
        <v>成都明夷电子科技股份有限公司</v>
      </c>
      <c r="C70" s="9" t="str">
        <f t="shared" ref="C70:G70" si="11">C48</f>
        <v>成都市市场监督管理局</v>
      </c>
      <c r="D70" s="9" t="str">
        <f t="shared" si="11"/>
        <v>91510100MA61R5XP4P</v>
      </c>
      <c r="E70" s="9" t="str">
        <f t="shared" si="11"/>
        <v>其他股份有限公司(非上市)</v>
      </c>
      <c r="F70" s="9" t="str">
        <f t="shared" si="11"/>
        <v>成都高新区税务局</v>
      </c>
      <c r="G70" s="9" t="str">
        <f t="shared" si="11"/>
        <v>1001300000717987（成都银行科技支行）</v>
      </c>
      <c r="H70" s="9"/>
      <c r="I70" s="9"/>
      <c r="J70" s="9"/>
      <c r="K70" s="9"/>
      <c r="L70" s="9"/>
      <c r="M70" s="20"/>
      <c r="N70" s="16"/>
      <c r="O70" s="16"/>
      <c r="P70" s="9"/>
      <c r="Q70" s="22">
        <f>SUM(Q71:Q91)</f>
        <v>0</v>
      </c>
      <c r="R70" s="146"/>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16"/>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16"/>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16"/>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16"/>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16"/>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16"/>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16"/>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16"/>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16"/>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16"/>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16"/>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16"/>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16"/>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16"/>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16"/>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16"/>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16"/>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16"/>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16"/>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16"/>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16"/>
      <c r="S91" s="19"/>
      <c r="T91" s="25"/>
      <c r="U91" s="25"/>
      <c r="V91" s="10"/>
      <c r="W91" s="10"/>
      <c r="X91" s="10"/>
      <c r="Y91" s="10"/>
      <c r="Z91" s="10"/>
      <c r="AA91" s="10"/>
      <c r="AB91" s="10"/>
    </row>
    <row r="92" spans="1:28" s="1" customFormat="1" ht="70" hidden="1">
      <c r="A92" s="9">
        <v>5</v>
      </c>
      <c r="B92" s="9" t="str">
        <f>B70</f>
        <v>成都明夷电子科技股份有限公司</v>
      </c>
      <c r="C92" s="9" t="str">
        <f t="shared" ref="C92:G92" si="12">C70</f>
        <v>成都市市场监督管理局</v>
      </c>
      <c r="D92" s="9" t="str">
        <f t="shared" si="12"/>
        <v>91510100MA61R5XP4P</v>
      </c>
      <c r="E92" s="9" t="str">
        <f t="shared" si="12"/>
        <v>其他股份有限公司(非上市)</v>
      </c>
      <c r="F92" s="9" t="str">
        <f t="shared" si="12"/>
        <v>成都高新区税务局</v>
      </c>
      <c r="G92" s="9" t="str">
        <f t="shared" si="12"/>
        <v>1001300000717987（成都银行科技支行）</v>
      </c>
      <c r="H92" s="9"/>
      <c r="I92" s="9"/>
      <c r="J92" s="9"/>
      <c r="K92" s="9"/>
      <c r="L92" s="9"/>
      <c r="M92" s="20"/>
      <c r="N92" s="16"/>
      <c r="O92" s="16"/>
      <c r="P92" s="9"/>
      <c r="Q92" s="22">
        <f>SUM(Q93:Q113)</f>
        <v>0</v>
      </c>
      <c r="R92" s="146"/>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16"/>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16"/>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16"/>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16"/>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16"/>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16"/>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16"/>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16"/>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16"/>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16"/>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16"/>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16"/>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16"/>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16"/>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16"/>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16"/>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16"/>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16"/>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16"/>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16"/>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16"/>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2500</v>
      </c>
      <c r="L114" s="9"/>
      <c r="M114" s="20"/>
      <c r="N114" s="16"/>
      <c r="O114" s="16"/>
      <c r="P114" s="9"/>
      <c r="Q114" s="9"/>
      <c r="R114" s="146">
        <f>R92+R70+R48+R26++R4</f>
        <v>35.549999999999997</v>
      </c>
      <c r="S114" s="9"/>
      <c r="T114" s="9"/>
      <c r="U114" s="9"/>
      <c r="V114" s="9"/>
      <c r="W114" s="9"/>
      <c r="X114" s="9"/>
      <c r="Y114" s="9">
        <f>Y92+Y70+Y48+Y26++Y4</f>
        <v>5.55</v>
      </c>
      <c r="Z114" s="9"/>
      <c r="AA114" s="9"/>
      <c r="AB114" s="9"/>
    </row>
    <row r="115" spans="1:28">
      <c r="I115" t="s">
        <v>49</v>
      </c>
      <c r="K115">
        <f>IF(K114&gt;3000,K116,K114)</f>
        <v>2500</v>
      </c>
    </row>
    <row r="116" spans="1:28">
      <c r="K116" t="s">
        <v>50</v>
      </c>
    </row>
  </sheetData>
  <autoFilter ref="A3:AD16" xr:uid="{00000000-0009-0000-0000-000025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116"/>
  <sheetViews>
    <sheetView topLeftCell="H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成都国星宇航科技股份有限公司审计明细表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389</v>
      </c>
      <c r="C4" s="9" t="s">
        <v>52</v>
      </c>
      <c r="D4" s="9" t="s">
        <v>390</v>
      </c>
      <c r="E4" s="9" t="s">
        <v>34</v>
      </c>
      <c r="F4" s="9" t="s">
        <v>154</v>
      </c>
      <c r="G4" s="9" t="s">
        <v>391</v>
      </c>
      <c r="H4" s="9" t="s">
        <v>71</v>
      </c>
      <c r="I4" s="9" t="s">
        <v>70</v>
      </c>
      <c r="J4" s="9" t="s">
        <v>73</v>
      </c>
      <c r="K4" s="9">
        <v>1000</v>
      </c>
      <c r="L4" s="9" t="s">
        <v>392</v>
      </c>
      <c r="M4" s="20" t="s">
        <v>393</v>
      </c>
      <c r="N4" s="16">
        <v>45037</v>
      </c>
      <c r="O4" s="16">
        <v>45127</v>
      </c>
      <c r="P4" s="9">
        <f>P8-N4</f>
        <v>90</v>
      </c>
      <c r="Q4" s="22">
        <f>SUM(Q5:Q25)</f>
        <v>7.7</v>
      </c>
      <c r="R4" s="22">
        <v>3.74</v>
      </c>
      <c r="S4" s="9"/>
      <c r="T4" s="22">
        <f>SUM(T5:T25)</f>
        <v>6.24</v>
      </c>
      <c r="U4" s="23">
        <v>2.5000000000000001E-2</v>
      </c>
      <c r="V4" s="16"/>
      <c r="W4" s="9" t="s">
        <v>42</v>
      </c>
      <c r="X4" s="24">
        <v>1.4999999999999999E-2</v>
      </c>
      <c r="Y4" s="9">
        <f>ROUNDDOWN(IF((O4-N4+1)*K4*X4/365&gt;R4,R4,(O4-N4+1)*K4*X4/365),2)</f>
        <v>3.73</v>
      </c>
      <c r="Z4" s="22">
        <f>R4-Y4</f>
        <v>0.01</v>
      </c>
      <c r="AA4" s="22" t="s">
        <v>43</v>
      </c>
      <c r="AB4" s="9" t="s">
        <v>61</v>
      </c>
      <c r="AD4" s="28">
        <f>(O4-N4+1)*K4*X4/365</f>
        <v>3.7397</v>
      </c>
    </row>
    <row r="5" spans="1:30" s="2" customFormat="1">
      <c r="A5" s="10"/>
      <c r="B5" s="10"/>
      <c r="C5" s="10"/>
      <c r="D5" s="10"/>
      <c r="E5" s="10"/>
      <c r="F5" s="10"/>
      <c r="G5" s="10"/>
      <c r="H5" s="10"/>
      <c r="I5" s="10"/>
      <c r="J5" s="10"/>
      <c r="K5" s="10"/>
      <c r="L5" s="10"/>
      <c r="M5" s="17"/>
      <c r="N5" s="18"/>
      <c r="O5" s="18"/>
      <c r="P5" s="19">
        <v>45037</v>
      </c>
      <c r="Q5" s="25">
        <v>1.46</v>
      </c>
      <c r="R5" s="10"/>
      <c r="S5" s="19">
        <f>P5</f>
        <v>45037</v>
      </c>
      <c r="T5" s="25">
        <f>(S5-N4)/360*$U$4*$K$4</f>
        <v>0</v>
      </c>
      <c r="U5" s="25">
        <f>T5-Q5</f>
        <v>-1.46</v>
      </c>
      <c r="V5" s="18"/>
      <c r="W5" s="10"/>
      <c r="X5" s="10"/>
      <c r="Y5" s="10">
        <f>ROUNDDOWN((V5-N4)*K4*X4/365,2)</f>
        <v>-1850.83</v>
      </c>
      <c r="Z5" s="10"/>
      <c r="AA5" s="10"/>
      <c r="AB5" s="10"/>
    </row>
    <row r="6" spans="1:30" s="2" customFormat="1">
      <c r="A6" s="10"/>
      <c r="B6" s="10"/>
      <c r="C6" s="10"/>
      <c r="D6" s="10"/>
      <c r="E6" s="10"/>
      <c r="F6" s="10"/>
      <c r="G6" s="10"/>
      <c r="H6" s="10"/>
      <c r="I6" s="10"/>
      <c r="J6" s="10"/>
      <c r="K6" s="10"/>
      <c r="L6" s="10"/>
      <c r="M6" s="17"/>
      <c r="N6" s="18"/>
      <c r="O6" s="18"/>
      <c r="P6" s="19">
        <v>45067</v>
      </c>
      <c r="Q6" s="25">
        <v>2.08</v>
      </c>
      <c r="R6" s="10"/>
      <c r="S6" s="19">
        <f t="shared" ref="S6:S8" si="0">P6</f>
        <v>45067</v>
      </c>
      <c r="T6" s="25">
        <f>(S6-S5)*$K$4*$U$4/360</f>
        <v>2.08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45098</v>
      </c>
      <c r="Q7" s="25">
        <v>2.15</v>
      </c>
      <c r="R7" s="10"/>
      <c r="S7" s="19">
        <f t="shared" si="0"/>
        <v>45098</v>
      </c>
      <c r="T7" s="25">
        <f t="shared" ref="T7:T8" si="1">(S7-S6)*$K$4*$U$4/360</f>
        <v>2.15</v>
      </c>
      <c r="U7" s="25">
        <f t="shared" ref="U7:U8"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45127</v>
      </c>
      <c r="Q8" s="25">
        <v>2.0099999999999998</v>
      </c>
      <c r="R8" s="10"/>
      <c r="S8" s="19">
        <f t="shared" si="0"/>
        <v>45127</v>
      </c>
      <c r="T8" s="25">
        <f t="shared" si="1"/>
        <v>2.0099999999999998</v>
      </c>
      <c r="U8" s="25">
        <f t="shared" si="2"/>
        <v>0</v>
      </c>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成都国星宇航科技股份有限公司</v>
      </c>
      <c r="C26" s="9" t="str">
        <f t="shared" ref="C26:G26" si="3">C4</f>
        <v>成都市市场监督管理局</v>
      </c>
      <c r="D26" s="9" t="str">
        <f t="shared" si="3"/>
        <v>91510122MA6CEC3QX8</v>
      </c>
      <c r="E26" s="9" t="str">
        <f t="shared" si="3"/>
        <v>私营企业</v>
      </c>
      <c r="F26" s="9" t="str">
        <f t="shared" si="3"/>
        <v>成都高新技术产业开发区税务局</v>
      </c>
      <c r="G26" s="9" t="str">
        <f t="shared" si="3"/>
        <v>511511300013002287482交通银行成都双流分行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成都国星宇航科技股份有限公司</v>
      </c>
      <c r="C48" s="9" t="str">
        <f t="shared" ref="C48:G48" si="7">C26</f>
        <v>成都市市场监督管理局</v>
      </c>
      <c r="D48" s="9" t="str">
        <f t="shared" si="7"/>
        <v>91510122MA6CEC3QX8</v>
      </c>
      <c r="E48" s="9" t="str">
        <f t="shared" si="7"/>
        <v>私营企业</v>
      </c>
      <c r="F48" s="9" t="str">
        <f t="shared" si="7"/>
        <v>成都高新技术产业开发区税务局</v>
      </c>
      <c r="G48" s="9" t="str">
        <f t="shared" si="7"/>
        <v>511511300013002287482交通银行成都双流分行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成都国星宇航科技股份有限公司</v>
      </c>
      <c r="C70" s="9" t="str">
        <f t="shared" ref="C70:G70" si="10">C48</f>
        <v>成都市市场监督管理局</v>
      </c>
      <c r="D70" s="9" t="str">
        <f t="shared" si="10"/>
        <v>91510122MA6CEC3QX8</v>
      </c>
      <c r="E70" s="9" t="str">
        <f t="shared" si="10"/>
        <v>私营企业</v>
      </c>
      <c r="F70" s="9" t="str">
        <f t="shared" si="10"/>
        <v>成都高新技术产业开发区税务局</v>
      </c>
      <c r="G70" s="9" t="str">
        <f t="shared" si="10"/>
        <v>511511300013002287482交通银行成都双流分行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成都国星宇航科技股份有限公司</v>
      </c>
      <c r="C92" s="9" t="str">
        <f t="shared" ref="C92:G92" si="11">C70</f>
        <v>成都市市场监督管理局</v>
      </c>
      <c r="D92" s="9" t="str">
        <f t="shared" si="11"/>
        <v>91510122MA6CEC3QX8</v>
      </c>
      <c r="E92" s="9" t="str">
        <f t="shared" si="11"/>
        <v>私营企业</v>
      </c>
      <c r="F92" s="9" t="str">
        <f t="shared" si="11"/>
        <v>成都高新技术产业开发区税务局</v>
      </c>
      <c r="G92" s="9" t="str">
        <f t="shared" si="11"/>
        <v>511511300013002287482交通银行成都双流分行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3.74</v>
      </c>
      <c r="S114" s="9"/>
      <c r="T114" s="9"/>
      <c r="U114" s="9"/>
      <c r="V114" s="9"/>
      <c r="W114" s="9"/>
      <c r="X114" s="9"/>
      <c r="Y114" s="9">
        <f>Y92+Y70+Y48+Y26++Y4</f>
        <v>3.73</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6"/>
  <sheetViews>
    <sheetView topLeftCell="D1" zoomScale="60" zoomScaleNormal="60" workbookViewId="0">
      <pane ySplit="3" topLeftCell="A4" activePane="bottomLeft" state="frozen"/>
      <selection pane="bottomLeft" activeCell="R26" sqref="R26"/>
    </sheetView>
  </sheetViews>
  <sheetFormatPr defaultColWidth="9" defaultRowHeight="14"/>
  <cols>
    <col min="7" max="7" width="9" customWidth="1"/>
    <col min="10" max="10" width="10"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成都纵横大鹏无人机科技有限公司审计明细表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76</v>
      </c>
      <c r="C4" s="9" t="s">
        <v>52</v>
      </c>
      <c r="D4" s="9" t="s">
        <v>77</v>
      </c>
      <c r="E4" s="9" t="s">
        <v>78</v>
      </c>
      <c r="F4" s="9" t="s">
        <v>35</v>
      </c>
      <c r="G4" s="9" t="s">
        <v>79</v>
      </c>
      <c r="H4" s="9" t="s">
        <v>71</v>
      </c>
      <c r="I4" s="9" t="s">
        <v>80</v>
      </c>
      <c r="J4" s="16" t="s">
        <v>58</v>
      </c>
      <c r="K4" s="9">
        <v>1000</v>
      </c>
      <c r="L4" s="9" t="s">
        <v>81</v>
      </c>
      <c r="M4" s="20" t="s">
        <v>82</v>
      </c>
      <c r="N4" s="16">
        <v>45103</v>
      </c>
      <c r="O4" s="16">
        <v>45291</v>
      </c>
      <c r="P4" s="9">
        <f>P11-N4</f>
        <v>209</v>
      </c>
      <c r="Q4" s="22">
        <f>SUM(Q5:Q25)</f>
        <v>22.06</v>
      </c>
      <c r="R4" s="22">
        <v>7.7671000000000001</v>
      </c>
      <c r="S4" s="9"/>
      <c r="T4" s="22">
        <f>SUM(T5:T25)</f>
        <v>22.06</v>
      </c>
      <c r="U4" s="23">
        <v>3.7999999999999999E-2</v>
      </c>
      <c r="V4" s="16"/>
      <c r="W4" s="9" t="s">
        <v>42</v>
      </c>
      <c r="X4" s="24">
        <v>1.4999999999999999E-2</v>
      </c>
      <c r="Y4" s="9">
        <f>ROUNDDOWN(IF((O4-N4+1)*K4*X4/365&gt;R4,R4,(O4-N4+1)*K4*X4/365),2)</f>
        <v>7.76</v>
      </c>
      <c r="Z4" s="22">
        <f>R4-Y4</f>
        <v>0.01</v>
      </c>
      <c r="AA4" s="22" t="s">
        <v>43</v>
      </c>
      <c r="AB4" s="9" t="s">
        <v>61</v>
      </c>
      <c r="AD4" s="28">
        <f>(O4-N4+1)*K4*X4/365</f>
        <v>7.7671000000000001</v>
      </c>
    </row>
    <row r="5" spans="1:30" s="2" customFormat="1">
      <c r="A5" s="10"/>
      <c r="B5" s="10"/>
      <c r="C5" s="10"/>
      <c r="D5" s="10"/>
      <c r="E5" s="10"/>
      <c r="F5" s="10"/>
      <c r="G5" s="10"/>
      <c r="H5" s="10"/>
      <c r="I5" s="10"/>
      <c r="J5" s="10"/>
      <c r="K5" s="10"/>
      <c r="L5" s="10"/>
      <c r="M5" s="17"/>
      <c r="N5" s="18"/>
      <c r="O5" s="16">
        <v>45468</v>
      </c>
      <c r="P5" s="19">
        <v>45128</v>
      </c>
      <c r="Q5" s="25">
        <v>2.64</v>
      </c>
      <c r="R5" s="10"/>
      <c r="S5" s="19">
        <f>P5</f>
        <v>45128</v>
      </c>
      <c r="T5" s="25">
        <f>(S5-N4)/360*$U$4*$K$4</f>
        <v>2.64</v>
      </c>
      <c r="U5" s="25">
        <f>T5-Q5</f>
        <v>0</v>
      </c>
      <c r="V5" s="18"/>
      <c r="W5" s="10"/>
      <c r="X5" s="10"/>
      <c r="Y5" s="10">
        <f>ROUNDDOWN((V5-N4)*K4*X4/365,2)</f>
        <v>-1853.54</v>
      </c>
      <c r="Z5" s="10"/>
      <c r="AA5" s="10"/>
      <c r="AB5" s="10"/>
    </row>
    <row r="6" spans="1:30" s="2" customFormat="1">
      <c r="A6" s="10"/>
      <c r="B6" s="10"/>
      <c r="C6" s="10"/>
      <c r="D6" s="10"/>
      <c r="E6" s="10"/>
      <c r="F6" s="10"/>
      <c r="G6" s="10"/>
      <c r="H6" s="10"/>
      <c r="I6" s="10"/>
      <c r="J6" s="10"/>
      <c r="K6" s="10"/>
      <c r="L6" s="10"/>
      <c r="M6" s="17"/>
      <c r="N6" s="18"/>
      <c r="O6" s="18"/>
      <c r="P6" s="19">
        <v>45159</v>
      </c>
      <c r="Q6" s="25">
        <v>3.27</v>
      </c>
      <c r="R6" s="10"/>
      <c r="S6" s="19">
        <f t="shared" ref="S6:S11" si="0">P6</f>
        <v>45159</v>
      </c>
      <c r="T6" s="25">
        <f>(S6-S5)*$K$4*$U$4/360</f>
        <v>3.27</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45190</v>
      </c>
      <c r="Q7" s="25">
        <v>3.27</v>
      </c>
      <c r="R7" s="10"/>
      <c r="S7" s="19">
        <f t="shared" si="0"/>
        <v>45190</v>
      </c>
      <c r="T7" s="25">
        <f t="shared" ref="T7:T11" si="1">(S7-S6)*$K$4*$U$4/360</f>
        <v>3.27</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45220</v>
      </c>
      <c r="Q8" s="25">
        <v>3.17</v>
      </c>
      <c r="R8" s="10"/>
      <c r="S8" s="19">
        <f t="shared" si="0"/>
        <v>45220</v>
      </c>
      <c r="T8" s="25">
        <f t="shared" si="1"/>
        <v>3.17</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45251</v>
      </c>
      <c r="Q9" s="25">
        <v>3.27</v>
      </c>
      <c r="R9" s="10"/>
      <c r="S9" s="19">
        <f t="shared" si="0"/>
        <v>45251</v>
      </c>
      <c r="T9" s="25">
        <f t="shared" si="1"/>
        <v>3.27</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45281</v>
      </c>
      <c r="Q10" s="25">
        <v>3.17</v>
      </c>
      <c r="R10" s="10"/>
      <c r="S10" s="19">
        <f t="shared" si="0"/>
        <v>45281</v>
      </c>
      <c r="T10" s="25">
        <f t="shared" si="1"/>
        <v>3.17</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45312</v>
      </c>
      <c r="Q11" s="25">
        <v>3.27</v>
      </c>
      <c r="R11" s="10"/>
      <c r="S11" s="19">
        <f t="shared" si="0"/>
        <v>45312</v>
      </c>
      <c r="T11" s="25">
        <f t="shared" si="1"/>
        <v>3.27</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c r="A26" s="9">
        <v>2</v>
      </c>
      <c r="B26" s="9" t="str">
        <f>B4</f>
        <v>成都纵横大鹏无人机科技有限公司</v>
      </c>
      <c r="C26" s="9" t="str">
        <f t="shared" ref="C26:G26" si="3">C4</f>
        <v>成都市市场监督管理局</v>
      </c>
      <c r="D26" s="9" t="str">
        <f t="shared" si="3"/>
        <v>91510122MA61RK0C98</v>
      </c>
      <c r="E26" s="9" t="str">
        <f t="shared" si="3"/>
        <v>民营企业</v>
      </c>
      <c r="F26" s="9" t="str">
        <f t="shared" si="3"/>
        <v>国家税务总局成都高新技术产业开发区税务局</v>
      </c>
      <c r="G26" s="9" t="str">
        <f t="shared" si="3"/>
        <v>中国工商银行成都府河音乐花园支行4402 9391 0910 0038 764</v>
      </c>
      <c r="H26" s="9" t="s">
        <v>71</v>
      </c>
      <c r="I26" s="9" t="s">
        <v>83</v>
      </c>
      <c r="J26" s="16" t="s">
        <v>84</v>
      </c>
      <c r="K26" s="9">
        <v>1000</v>
      </c>
      <c r="L26" s="9" t="s">
        <v>85</v>
      </c>
      <c r="M26" s="20" t="s">
        <v>86</v>
      </c>
      <c r="N26" s="16">
        <v>45191</v>
      </c>
      <c r="O26" s="16">
        <v>45291</v>
      </c>
      <c r="P26" s="9">
        <f>P28-N26</f>
        <v>181</v>
      </c>
      <c r="Q26" s="22">
        <f>SUM(Q27:Q47)</f>
        <v>19.36</v>
      </c>
      <c r="R26" s="127">
        <v>4.1500000000000004</v>
      </c>
      <c r="S26" s="9"/>
      <c r="T26" s="9">
        <f>SUM(T27:T47)</f>
        <v>19.36</v>
      </c>
      <c r="U26" s="23">
        <v>3.85E-2</v>
      </c>
      <c r="V26" s="16"/>
      <c r="W26" s="9" t="s">
        <v>42</v>
      </c>
      <c r="X26" s="24">
        <v>1.4999999999999999E-2</v>
      </c>
      <c r="Y26" s="9">
        <f>ROUNDDOWN(IF((O26-N26+1)*K26*X26/365&gt;R26,R26,(O26-N26+1)*K26*X26/365),2)</f>
        <v>4.1500000000000004</v>
      </c>
      <c r="Z26" s="9">
        <f>R26-Y26</f>
        <v>0</v>
      </c>
      <c r="AA26" s="9"/>
      <c r="AB26" s="9" t="s">
        <v>87</v>
      </c>
      <c r="AD26" s="1">
        <f>(O26-N26+1)*K26*X26/365</f>
        <v>4.1506849315068504</v>
      </c>
    </row>
    <row r="27" spans="1:30" s="2" customFormat="1">
      <c r="A27" s="10"/>
      <c r="B27" s="10"/>
      <c r="C27" s="10"/>
      <c r="D27" s="10"/>
      <c r="E27" s="10"/>
      <c r="F27" s="10"/>
      <c r="G27" s="10"/>
      <c r="H27" s="10"/>
      <c r="I27" s="10"/>
      <c r="J27" s="10"/>
      <c r="K27" s="10"/>
      <c r="L27" s="10"/>
      <c r="M27" s="17"/>
      <c r="N27" s="18"/>
      <c r="O27" s="16">
        <v>45921</v>
      </c>
      <c r="P27" s="19">
        <v>45281</v>
      </c>
      <c r="Q27" s="25">
        <v>9.6300000000000008</v>
      </c>
      <c r="R27" s="10"/>
      <c r="S27" s="19">
        <f>P27</f>
        <v>45281</v>
      </c>
      <c r="T27" s="25">
        <f>(S27-N26)/360*$U$26*$K$26</f>
        <v>9.6300000000000008</v>
      </c>
      <c r="U27" s="25">
        <f>T27-Q27</f>
        <v>0</v>
      </c>
      <c r="V27" s="18"/>
      <c r="W27" s="10"/>
      <c r="X27" s="10"/>
      <c r="Y27" s="29">
        <f>ROUNDUP((V27-N26)*K26*X26/365,2)</f>
        <v>-1857.17</v>
      </c>
      <c r="Z27" s="10"/>
      <c r="AA27" s="10"/>
      <c r="AB27" s="10"/>
    </row>
    <row r="28" spans="1:30" s="2" customFormat="1">
      <c r="A28" s="10"/>
      <c r="B28" s="10"/>
      <c r="C28" s="10"/>
      <c r="D28" s="10"/>
      <c r="E28" s="10"/>
      <c r="F28" s="10"/>
      <c r="G28" s="10"/>
      <c r="H28" s="10"/>
      <c r="I28" s="10"/>
      <c r="J28" s="10"/>
      <c r="K28" s="10"/>
      <c r="L28" s="10"/>
      <c r="M28" s="17"/>
      <c r="N28" s="18"/>
      <c r="O28" s="18"/>
      <c r="P28" s="19">
        <v>45372</v>
      </c>
      <c r="Q28" s="25">
        <v>9.73</v>
      </c>
      <c r="R28" s="10"/>
      <c r="S28" s="19">
        <f t="shared" ref="S28" si="4">P28</f>
        <v>45372</v>
      </c>
      <c r="T28" s="25">
        <f>(S28-S27)*$U$26*$K$26/360</f>
        <v>9.73</v>
      </c>
      <c r="U28" s="25">
        <f t="shared" ref="U28" si="5">T28-Q28</f>
        <v>0</v>
      </c>
      <c r="V28" s="10"/>
      <c r="W28" s="10"/>
      <c r="X28" s="10"/>
      <c r="Y28" s="29">
        <f>ROUNDUP((O26-V27+1)*(K26-W27)*X26/365,2)</f>
        <v>1861.32</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c r="T30" s="25"/>
      <c r="U30" s="25"/>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c r="T31" s="25"/>
      <c r="U31" s="25"/>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成都纵横大鹏无人机科技有限公司</v>
      </c>
      <c r="C48" s="9" t="str">
        <f t="shared" ref="C48:G48" si="6">C26</f>
        <v>成都市市场监督管理局</v>
      </c>
      <c r="D48" s="9" t="str">
        <f t="shared" si="6"/>
        <v>91510122MA61RK0C98</v>
      </c>
      <c r="E48" s="9" t="str">
        <f t="shared" si="6"/>
        <v>民营企业</v>
      </c>
      <c r="F48" s="9" t="str">
        <f t="shared" si="6"/>
        <v>国家税务总局成都高新技术产业开发区税务局</v>
      </c>
      <c r="G48" s="9" t="str">
        <f t="shared" si="6"/>
        <v>中国工商银行成都府河音乐花园支行4402 9391 0910 0038 764</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7">P50</f>
        <v>0</v>
      </c>
      <c r="T50" s="25">
        <f>(S50-S49)*$U$48*$K$48/360</f>
        <v>0</v>
      </c>
      <c r="U50" s="25">
        <f t="shared" ref="U50" si="8">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成都纵横大鹏无人机科技有限公司</v>
      </c>
      <c r="C70" s="9" t="str">
        <f t="shared" ref="C70:G70" si="9">C48</f>
        <v>成都市市场监督管理局</v>
      </c>
      <c r="D70" s="9" t="str">
        <f t="shared" si="9"/>
        <v>91510122MA61RK0C98</v>
      </c>
      <c r="E70" s="9" t="str">
        <f t="shared" si="9"/>
        <v>民营企业</v>
      </c>
      <c r="F70" s="9" t="str">
        <f t="shared" si="9"/>
        <v>国家税务总局成都高新技术产业开发区税务局</v>
      </c>
      <c r="G70" s="9" t="str">
        <f t="shared" si="9"/>
        <v>中国工商银行成都府河音乐花园支行4402 9391 0910 0038 764</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成都纵横大鹏无人机科技有限公司</v>
      </c>
      <c r="C92" s="9" t="str">
        <f t="shared" ref="C92:G92" si="10">C70</f>
        <v>成都市市场监督管理局</v>
      </c>
      <c r="D92" s="9" t="str">
        <f t="shared" si="10"/>
        <v>91510122MA61RK0C98</v>
      </c>
      <c r="E92" s="9" t="str">
        <f t="shared" si="10"/>
        <v>民营企业</v>
      </c>
      <c r="F92" s="9" t="str">
        <f t="shared" si="10"/>
        <v>国家税务总局成都高新技术产业开发区税务局</v>
      </c>
      <c r="G92" s="9" t="str">
        <f t="shared" si="10"/>
        <v>中国工商银行成都府河音乐花园支行4402 9391 0910 0038 764</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11.9171</v>
      </c>
      <c r="S114" s="9"/>
      <c r="T114" s="9"/>
      <c r="U114" s="9"/>
      <c r="V114" s="9"/>
      <c r="W114" s="9"/>
      <c r="X114" s="9"/>
      <c r="Y114" s="9">
        <f>Y92+Y70+Y48+Y26++Y4</f>
        <v>11.91</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116"/>
  <sheetViews>
    <sheetView topLeftCell="H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成都汉度科技有限公司审计明细表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394</v>
      </c>
      <c r="C4" s="9" t="s">
        <v>186</v>
      </c>
      <c r="D4" s="9" t="s">
        <v>395</v>
      </c>
      <c r="E4" s="9" t="s">
        <v>34</v>
      </c>
      <c r="F4" s="9" t="s">
        <v>35</v>
      </c>
      <c r="G4" s="9" t="s">
        <v>396</v>
      </c>
      <c r="H4" s="9" t="s">
        <v>71</v>
      </c>
      <c r="I4" s="9" t="s">
        <v>397</v>
      </c>
      <c r="J4" s="9" t="s">
        <v>168</v>
      </c>
      <c r="K4" s="9">
        <v>1000</v>
      </c>
      <c r="L4" s="9" t="s">
        <v>398</v>
      </c>
      <c r="M4" s="20" t="s">
        <v>399</v>
      </c>
      <c r="N4" s="16">
        <v>45107</v>
      </c>
      <c r="O4" s="16">
        <v>45291</v>
      </c>
      <c r="P4" s="9">
        <f>P11-N4</f>
        <v>205</v>
      </c>
      <c r="Q4" s="22">
        <f>SUM(Q5:Q25)</f>
        <v>17.07</v>
      </c>
      <c r="R4" s="22">
        <v>7.6</v>
      </c>
      <c r="S4" s="9"/>
      <c r="T4" s="22">
        <f>SUM(T5:T25)</f>
        <v>17.07</v>
      </c>
      <c r="U4" s="23">
        <v>0.03</v>
      </c>
      <c r="V4" s="16"/>
      <c r="W4" s="9" t="s">
        <v>42</v>
      </c>
      <c r="X4" s="24">
        <v>1.4999999999999999E-2</v>
      </c>
      <c r="Y4" s="9">
        <f>ROUNDDOWN(IF((O4-N4+1)*K4*X4/365&gt;R4,R4,(O4-N4+1)*K4*X4/365),2)</f>
        <v>7.6</v>
      </c>
      <c r="Z4" s="22">
        <f>R4-Y4</f>
        <v>0</v>
      </c>
      <c r="AA4" s="22"/>
      <c r="AB4" s="9" t="s">
        <v>61</v>
      </c>
      <c r="AD4" s="28">
        <f>(O4-N4+1)*K4*X4/365</f>
        <v>7.6026999999999996</v>
      </c>
    </row>
    <row r="5" spans="1:30" s="2" customFormat="1">
      <c r="A5" s="10"/>
      <c r="B5" s="10"/>
      <c r="C5" s="10"/>
      <c r="D5" s="10"/>
      <c r="E5" s="10"/>
      <c r="F5" s="10"/>
      <c r="G5" s="10"/>
      <c r="H5" s="10"/>
      <c r="I5" s="10"/>
      <c r="J5" s="10"/>
      <c r="K5" s="10"/>
      <c r="L5" s="10"/>
      <c r="M5" s="17"/>
      <c r="N5" s="18"/>
      <c r="O5" s="16">
        <v>45473</v>
      </c>
      <c r="P5" s="19">
        <v>45128</v>
      </c>
      <c r="Q5" s="25">
        <v>1.75</v>
      </c>
      <c r="R5" s="10"/>
      <c r="S5" s="19">
        <f>P5</f>
        <v>45128</v>
      </c>
      <c r="T5" s="25">
        <f>(S5-N4)/360*$U$4*$K$4</f>
        <v>1.75</v>
      </c>
      <c r="U5" s="25">
        <f>T5-Q5</f>
        <v>0</v>
      </c>
      <c r="V5" s="18"/>
      <c r="W5" s="10"/>
      <c r="X5" s="10"/>
      <c r="Y5" s="10">
        <f>ROUNDDOWN((V5-N4)*K4*X4/365,2)</f>
        <v>-1853.71</v>
      </c>
      <c r="Z5" s="10"/>
      <c r="AA5" s="10"/>
      <c r="AB5" s="10"/>
    </row>
    <row r="6" spans="1:30" s="2" customFormat="1">
      <c r="A6" s="10"/>
      <c r="B6" s="10"/>
      <c r="C6" s="10"/>
      <c r="D6" s="10"/>
      <c r="E6" s="10"/>
      <c r="F6" s="10"/>
      <c r="G6" s="10"/>
      <c r="H6" s="10"/>
      <c r="I6" s="10"/>
      <c r="J6" s="10"/>
      <c r="K6" s="10"/>
      <c r="L6" s="10"/>
      <c r="M6" s="17"/>
      <c r="N6" s="18"/>
      <c r="O6" s="18"/>
      <c r="P6" s="19">
        <v>45159</v>
      </c>
      <c r="Q6" s="25">
        <v>2.58</v>
      </c>
      <c r="R6" s="10"/>
      <c r="S6" s="19">
        <f t="shared" ref="S6:S11" si="0">P6</f>
        <v>45159</v>
      </c>
      <c r="T6" s="25">
        <f>(S6-S5)*$K$4*$U$4/360</f>
        <v>2.58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45190</v>
      </c>
      <c r="Q7" s="25">
        <v>2.58</v>
      </c>
      <c r="R7" s="10"/>
      <c r="S7" s="19">
        <f t="shared" si="0"/>
        <v>45190</v>
      </c>
      <c r="T7" s="25">
        <f t="shared" ref="T7:T11" si="1">(S7-S6)*$K$4*$U$4/360</f>
        <v>2.58</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45220</v>
      </c>
      <c r="Q8" s="25">
        <v>2.5</v>
      </c>
      <c r="R8" s="10"/>
      <c r="S8" s="19">
        <f t="shared" si="0"/>
        <v>45220</v>
      </c>
      <c r="T8" s="25">
        <f t="shared" si="1"/>
        <v>2.5</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45251</v>
      </c>
      <c r="Q9" s="25">
        <v>2.58</v>
      </c>
      <c r="R9" s="10"/>
      <c r="S9" s="19">
        <f t="shared" si="0"/>
        <v>45251</v>
      </c>
      <c r="T9" s="25">
        <f t="shared" si="1"/>
        <v>2.58</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45281</v>
      </c>
      <c r="Q10" s="25">
        <v>2.5</v>
      </c>
      <c r="R10" s="10"/>
      <c r="S10" s="19">
        <f t="shared" si="0"/>
        <v>45281</v>
      </c>
      <c r="T10" s="25">
        <f t="shared" si="1"/>
        <v>2.5</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45312</v>
      </c>
      <c r="Q11" s="25">
        <v>2.58</v>
      </c>
      <c r="R11" s="10"/>
      <c r="S11" s="19">
        <f t="shared" si="0"/>
        <v>45312</v>
      </c>
      <c r="T11" s="25">
        <f t="shared" si="1"/>
        <v>2.58</v>
      </c>
      <c r="U11" s="25">
        <f t="shared" si="2"/>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成都汉度科技有限公司</v>
      </c>
      <c r="C26" s="9" t="str">
        <f t="shared" ref="C26:G26" si="3">C4</f>
        <v>成都高新区市场监督管理局</v>
      </c>
      <c r="D26" s="9" t="str">
        <f t="shared" si="3"/>
        <v>91510100054913286C</v>
      </c>
      <c r="E26" s="9" t="str">
        <f t="shared" si="3"/>
        <v>私营企业</v>
      </c>
      <c r="F26" s="9" t="str">
        <f t="shared" si="3"/>
        <v>国家税务总局成都高新技术产业开发区税务局</v>
      </c>
      <c r="G26" s="9" t="str">
        <f t="shared" si="3"/>
        <v>4402211109100030608（中国工商银行股份有限公司成都鹭岛支行）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成都汉度科技有限公司</v>
      </c>
      <c r="C48" s="9" t="str">
        <f t="shared" ref="C48:G48" si="7">C26</f>
        <v>成都高新区市场监督管理局</v>
      </c>
      <c r="D48" s="9" t="str">
        <f t="shared" si="7"/>
        <v>91510100054913286C</v>
      </c>
      <c r="E48" s="9" t="str">
        <f t="shared" si="7"/>
        <v>私营企业</v>
      </c>
      <c r="F48" s="9" t="str">
        <f t="shared" si="7"/>
        <v>国家税务总局成都高新技术产业开发区税务局</v>
      </c>
      <c r="G48" s="9" t="str">
        <f t="shared" si="7"/>
        <v>4402211109100030608（中国工商银行股份有限公司成都鹭岛支行）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成都汉度科技有限公司</v>
      </c>
      <c r="C70" s="9" t="str">
        <f t="shared" ref="C70:G70" si="10">C48</f>
        <v>成都高新区市场监督管理局</v>
      </c>
      <c r="D70" s="9" t="str">
        <f t="shared" si="10"/>
        <v>91510100054913286C</v>
      </c>
      <c r="E70" s="9" t="str">
        <f t="shared" si="10"/>
        <v>私营企业</v>
      </c>
      <c r="F70" s="9" t="str">
        <f t="shared" si="10"/>
        <v>国家税务总局成都高新技术产业开发区税务局</v>
      </c>
      <c r="G70" s="9" t="str">
        <f t="shared" si="10"/>
        <v>4402211109100030608（中国工商银行股份有限公司成都鹭岛支行）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成都汉度科技有限公司</v>
      </c>
      <c r="C92" s="9" t="str">
        <f t="shared" ref="C92:G92" si="11">C70</f>
        <v>成都高新区市场监督管理局</v>
      </c>
      <c r="D92" s="9" t="str">
        <f t="shared" si="11"/>
        <v>91510100054913286C</v>
      </c>
      <c r="E92" s="9" t="str">
        <f t="shared" si="11"/>
        <v>私营企业</v>
      </c>
      <c r="F92" s="9" t="str">
        <f t="shared" si="11"/>
        <v>国家税务总局成都高新技术产业开发区税务局</v>
      </c>
      <c r="G92" s="9" t="str">
        <f t="shared" si="11"/>
        <v>4402211109100030608（中国工商银行股份有限公司成都鹭岛支行）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7.6</v>
      </c>
      <c r="S114" s="9"/>
      <c r="T114" s="9"/>
      <c r="U114" s="9"/>
      <c r="V114" s="9"/>
      <c r="W114" s="9"/>
      <c r="X114" s="9"/>
      <c r="Y114" s="9">
        <f>Y92+Y70+Y48+Y26++Y4</f>
        <v>7.6</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D116"/>
  <sheetViews>
    <sheetView topLeftCell="F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成都宜泊信息科技有限公司审计明细表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400</v>
      </c>
      <c r="C4" s="9" t="s">
        <v>32</v>
      </c>
      <c r="D4" s="9" t="s">
        <v>401</v>
      </c>
      <c r="E4" s="9" t="s">
        <v>402</v>
      </c>
      <c r="F4" s="9" t="s">
        <v>403</v>
      </c>
      <c r="G4" s="9" t="s">
        <v>404</v>
      </c>
      <c r="H4" s="9" t="s">
        <v>71</v>
      </c>
      <c r="I4" s="9" t="s">
        <v>405</v>
      </c>
      <c r="J4" s="9" t="s">
        <v>58</v>
      </c>
      <c r="K4" s="9">
        <v>1000</v>
      </c>
      <c r="L4" s="9" t="s">
        <v>406</v>
      </c>
      <c r="M4" s="20" t="s">
        <v>406</v>
      </c>
      <c r="N4" s="16">
        <v>45258</v>
      </c>
      <c r="O4" s="16">
        <v>45291</v>
      </c>
      <c r="P4" s="9">
        <f>P6-N4</f>
        <v>114</v>
      </c>
      <c r="Q4" s="22">
        <f>SUM(Q5:Q25)</f>
        <v>7.59</v>
      </c>
      <c r="R4" s="22">
        <v>1.36</v>
      </c>
      <c r="S4" s="9"/>
      <c r="T4" s="22">
        <f>SUM(T5:T25)</f>
        <v>7.6</v>
      </c>
      <c r="U4" s="23">
        <v>2.4E-2</v>
      </c>
      <c r="V4" s="16"/>
      <c r="W4" s="9" t="s">
        <v>42</v>
      </c>
      <c r="X4" s="24">
        <v>1.4999999999999999E-2</v>
      </c>
      <c r="Y4" s="9">
        <f>ROUNDDOWN(IF((O4-N4+1)*K4*X4/365&gt;R4,R4,(O4-N4+1)*K4*X4/365),2)</f>
        <v>1.36</v>
      </c>
      <c r="Z4" s="22">
        <f>R4-Y4</f>
        <v>0</v>
      </c>
      <c r="AA4" s="22"/>
      <c r="AB4" s="9" t="s">
        <v>178</v>
      </c>
      <c r="AD4" s="28">
        <f>(O4-N4+1)*K4*X4/365</f>
        <v>1.3973</v>
      </c>
    </row>
    <row r="5" spans="1:30" s="2" customFormat="1">
      <c r="A5" s="10"/>
      <c r="B5" s="10"/>
      <c r="C5" s="10"/>
      <c r="D5" s="10"/>
      <c r="E5" s="10"/>
      <c r="F5" s="10"/>
      <c r="G5" s="10"/>
      <c r="H5" s="10"/>
      <c r="I5" s="10"/>
      <c r="J5" s="10"/>
      <c r="K5" s="10"/>
      <c r="L5" s="10"/>
      <c r="M5" s="17"/>
      <c r="N5" s="18"/>
      <c r="O5" s="16">
        <v>45624</v>
      </c>
      <c r="P5" s="19">
        <v>45281</v>
      </c>
      <c r="Q5" s="25">
        <v>1.53</v>
      </c>
      <c r="R5" s="10"/>
      <c r="S5" s="19">
        <f>P5</f>
        <v>45281</v>
      </c>
      <c r="T5" s="25">
        <f>(S5-N4)/360*$U$4*$K$4</f>
        <v>1.53</v>
      </c>
      <c r="U5" s="25">
        <f>T5-Q5</f>
        <v>0</v>
      </c>
      <c r="V5" s="18"/>
      <c r="W5" s="10"/>
      <c r="X5" s="10"/>
      <c r="Y5" s="10">
        <f>ROUNDDOWN((V5-N4)*K4*X4/365,2)</f>
        <v>-1859.91</v>
      </c>
      <c r="Z5" s="10"/>
      <c r="AA5" s="10"/>
      <c r="AB5" s="10"/>
    </row>
    <row r="6" spans="1:30" s="2" customFormat="1">
      <c r="A6" s="10"/>
      <c r="B6" s="10"/>
      <c r="C6" s="10"/>
      <c r="D6" s="10"/>
      <c r="E6" s="10"/>
      <c r="F6" s="10"/>
      <c r="G6" s="10"/>
      <c r="H6" s="10"/>
      <c r="I6" s="10"/>
      <c r="J6" s="10"/>
      <c r="K6" s="10"/>
      <c r="L6" s="10"/>
      <c r="M6" s="17"/>
      <c r="N6" s="18"/>
      <c r="O6" s="18"/>
      <c r="P6" s="19">
        <v>45372</v>
      </c>
      <c r="Q6" s="25">
        <v>6.06</v>
      </c>
      <c r="R6" s="10"/>
      <c r="S6" s="19">
        <f t="shared" ref="S6" si="0">P6</f>
        <v>45372</v>
      </c>
      <c r="T6" s="25">
        <f>(S6-S5)*$K$4*$U$4/360</f>
        <v>6.07</v>
      </c>
      <c r="U6" s="25">
        <f>T6-Q6</f>
        <v>0.01</v>
      </c>
      <c r="V6" s="10"/>
      <c r="W6" s="10"/>
      <c r="X6" s="10"/>
      <c r="Y6" s="10"/>
      <c r="Z6" s="10"/>
      <c r="AA6" s="10"/>
      <c r="AB6" s="10"/>
    </row>
    <row r="7" spans="1:30" s="2" customFormat="1" hidden="1">
      <c r="A7" s="10"/>
      <c r="B7" s="10"/>
      <c r="C7" s="10"/>
      <c r="D7" s="10"/>
      <c r="E7" s="10"/>
      <c r="F7" s="10"/>
      <c r="G7" s="10"/>
      <c r="H7" s="10"/>
      <c r="I7" s="10"/>
      <c r="J7" s="10"/>
      <c r="K7" s="10"/>
      <c r="L7" s="10"/>
      <c r="M7" s="17"/>
      <c r="N7" s="18"/>
      <c r="O7" s="18"/>
      <c r="P7" s="19"/>
      <c r="Q7" s="25"/>
      <c r="R7" s="10"/>
      <c r="S7" s="19"/>
      <c r="T7" s="25"/>
      <c r="U7" s="25"/>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成都宜泊信息科技有限公司</v>
      </c>
      <c r="C26" s="9" t="str">
        <f t="shared" ref="C26:G26" si="1">C4</f>
        <v>成都高新技术产业开发区市场监督管理局</v>
      </c>
      <c r="D26" s="9" t="str">
        <f t="shared" si="1"/>
        <v>91510100343030842A</v>
      </c>
      <c r="E26" s="9" t="str">
        <f t="shared" si="1"/>
        <v>中小企业</v>
      </c>
      <c r="F26" s="9" t="str">
        <f t="shared" si="1"/>
        <v>成都市高新区</v>
      </c>
      <c r="G26" s="9" t="str">
        <f t="shared" si="1"/>
        <v>1001300000414084（成都银行南城支行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2">P28</f>
        <v>0</v>
      </c>
      <c r="T28" s="25">
        <f>(S28-S27)*$U$26*$K$26/360</f>
        <v>0</v>
      </c>
      <c r="U28" s="25">
        <f t="shared" ref="U28:U37" si="3">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2"/>
        <v>0</v>
      </c>
      <c r="T29" s="25">
        <f t="shared" ref="T29:T36" si="4">(S29-S28)*$U$26*$K$26/360</f>
        <v>0</v>
      </c>
      <c r="U29" s="25">
        <f t="shared" si="3"/>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2"/>
        <v>0</v>
      </c>
      <c r="T30" s="25">
        <f t="shared" si="4"/>
        <v>0</v>
      </c>
      <c r="U30" s="25">
        <f t="shared" si="3"/>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2"/>
        <v>0</v>
      </c>
      <c r="T31" s="25">
        <f t="shared" si="4"/>
        <v>0</v>
      </c>
      <c r="U31" s="25">
        <f t="shared" si="3"/>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2"/>
        <v>0</v>
      </c>
      <c r="T32" s="25">
        <f t="shared" si="4"/>
        <v>0</v>
      </c>
      <c r="U32" s="25">
        <f t="shared" si="3"/>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2"/>
        <v>0</v>
      </c>
      <c r="T33" s="25">
        <f t="shared" si="4"/>
        <v>0</v>
      </c>
      <c r="U33" s="25">
        <f t="shared" si="3"/>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2"/>
        <v>0</v>
      </c>
      <c r="T34" s="25">
        <f t="shared" si="4"/>
        <v>0</v>
      </c>
      <c r="U34" s="25">
        <f t="shared" si="3"/>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2"/>
        <v>0</v>
      </c>
      <c r="T35" s="25">
        <f t="shared" si="4"/>
        <v>0</v>
      </c>
      <c r="U35" s="25">
        <f t="shared" si="3"/>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2"/>
        <v>0</v>
      </c>
      <c r="T36" s="25">
        <f t="shared" si="4"/>
        <v>0</v>
      </c>
      <c r="U36" s="25">
        <f t="shared" si="3"/>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3"/>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成都宜泊信息科技有限公司</v>
      </c>
      <c r="C48" s="9" t="str">
        <f t="shared" ref="C48:G48" si="5">C26</f>
        <v>成都高新技术产业开发区市场监督管理局</v>
      </c>
      <c r="D48" s="9" t="str">
        <f t="shared" si="5"/>
        <v>91510100343030842A</v>
      </c>
      <c r="E48" s="9" t="str">
        <f t="shared" si="5"/>
        <v>中小企业</v>
      </c>
      <c r="F48" s="9" t="str">
        <f t="shared" si="5"/>
        <v>成都市高新区</v>
      </c>
      <c r="G48" s="9" t="str">
        <f t="shared" si="5"/>
        <v>1001300000414084（成都银行南城支行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6">P50</f>
        <v>0</v>
      </c>
      <c r="T50" s="25">
        <f>(S50-S49)*$U$48*$K$48/360</f>
        <v>0</v>
      </c>
      <c r="U50" s="25">
        <f t="shared" ref="U50" si="7">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成都宜泊信息科技有限公司</v>
      </c>
      <c r="C70" s="9" t="str">
        <f t="shared" ref="C70:G70" si="8">C48</f>
        <v>成都高新技术产业开发区市场监督管理局</v>
      </c>
      <c r="D70" s="9" t="str">
        <f t="shared" si="8"/>
        <v>91510100343030842A</v>
      </c>
      <c r="E70" s="9" t="str">
        <f t="shared" si="8"/>
        <v>中小企业</v>
      </c>
      <c r="F70" s="9" t="str">
        <f t="shared" si="8"/>
        <v>成都市高新区</v>
      </c>
      <c r="G70" s="9" t="str">
        <f t="shared" si="8"/>
        <v>1001300000414084（成都银行南城支行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成都宜泊信息科技有限公司</v>
      </c>
      <c r="C92" s="9" t="str">
        <f t="shared" ref="C92:G92" si="9">C70</f>
        <v>成都高新技术产业开发区市场监督管理局</v>
      </c>
      <c r="D92" s="9" t="str">
        <f t="shared" si="9"/>
        <v>91510100343030842A</v>
      </c>
      <c r="E92" s="9" t="str">
        <f t="shared" si="9"/>
        <v>中小企业</v>
      </c>
      <c r="F92" s="9" t="str">
        <f t="shared" si="9"/>
        <v>成都市高新区</v>
      </c>
      <c r="G92" s="9" t="str">
        <f t="shared" si="9"/>
        <v>1001300000414084（成都银行南城支行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22">
        <f>R92+R70+R48+R26+R4</f>
        <v>1.36</v>
      </c>
      <c r="S114" s="9"/>
      <c r="T114" s="9"/>
      <c r="U114" s="9"/>
      <c r="V114" s="9"/>
      <c r="W114" s="9"/>
      <c r="X114" s="9"/>
      <c r="Y114" s="9">
        <f>Y92+Y70+Y48+Y26++Y4</f>
        <v>1.36</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116"/>
  <sheetViews>
    <sheetView topLeftCell="K1" zoomScale="80" zoomScaleNormal="80" workbookViewId="0">
      <pane ySplit="3" topLeftCell="A26" activePane="bottomLeft" state="frozen"/>
      <selection pane="bottomLeft" activeCell="N26" sqref="N26:AB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四川新科电子技术工程有限责任公司审计明细表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407</v>
      </c>
      <c r="C4" s="9" t="s">
        <v>408</v>
      </c>
      <c r="D4" s="9" t="s">
        <v>409</v>
      </c>
      <c r="E4" s="9" t="s">
        <v>101</v>
      </c>
      <c r="F4" s="9" t="s">
        <v>238</v>
      </c>
      <c r="G4" s="9" t="s">
        <v>410</v>
      </c>
      <c r="H4" s="9" t="s">
        <v>37</v>
      </c>
      <c r="I4" s="9" t="s">
        <v>411</v>
      </c>
      <c r="J4" s="9" t="s">
        <v>58</v>
      </c>
      <c r="K4" s="9">
        <v>300</v>
      </c>
      <c r="L4" s="9" t="s">
        <v>412</v>
      </c>
      <c r="M4" s="20" t="s">
        <v>413</v>
      </c>
      <c r="N4" s="143">
        <v>44888</v>
      </c>
      <c r="O4" s="16">
        <v>45239</v>
      </c>
      <c r="P4" s="9">
        <f>P16-N4</f>
        <v>351</v>
      </c>
      <c r="Q4" s="22">
        <f>SUM(Q5:Q25)</f>
        <v>11.67</v>
      </c>
      <c r="R4" s="22">
        <v>3</v>
      </c>
      <c r="S4" s="9"/>
      <c r="T4" s="22">
        <f>SUM(T5:T25)</f>
        <v>11.67</v>
      </c>
      <c r="U4" s="23">
        <v>0.04</v>
      </c>
      <c r="V4" s="16"/>
      <c r="W4" s="9" t="s">
        <v>42</v>
      </c>
      <c r="X4" s="24">
        <v>0.01</v>
      </c>
      <c r="Y4" s="9">
        <f>ROUNDDOWN(IF((O4-N4+1)*K4*X4/365&gt;R4,R4,(O4-N4+1)*K4*X4/365),2)</f>
        <v>2.89</v>
      </c>
      <c r="Z4" s="22">
        <f>R4-Y4</f>
        <v>0.11</v>
      </c>
      <c r="AA4" s="22" t="s">
        <v>414</v>
      </c>
      <c r="AB4" s="9" t="s">
        <v>61</v>
      </c>
      <c r="AD4" s="28">
        <f>(O4-N4+1)*K4*X4/365</f>
        <v>2.8932000000000002</v>
      </c>
    </row>
    <row r="5" spans="1:30" s="2" customFormat="1">
      <c r="A5" s="10"/>
      <c r="B5" s="10"/>
      <c r="C5" s="10"/>
      <c r="D5" s="10"/>
      <c r="E5" s="10"/>
      <c r="F5" s="10"/>
      <c r="G5" s="10"/>
      <c r="H5" s="10"/>
      <c r="I5" s="10"/>
      <c r="J5" s="10"/>
      <c r="K5" s="10"/>
      <c r="L5" s="10"/>
      <c r="M5" s="17"/>
      <c r="N5" s="18"/>
      <c r="O5" s="18"/>
      <c r="P5" s="19">
        <v>44916</v>
      </c>
      <c r="Q5" s="25">
        <v>0.93</v>
      </c>
      <c r="R5" s="10"/>
      <c r="S5" s="19">
        <f>P5</f>
        <v>44916</v>
      </c>
      <c r="T5" s="25">
        <f>(S5-N4)/360*$U$4*$K$4</f>
        <v>0.93</v>
      </c>
      <c r="U5" s="25">
        <f>T5-Q5</f>
        <v>0</v>
      </c>
      <c r="V5" s="18"/>
      <c r="W5" s="10"/>
      <c r="X5" s="10"/>
      <c r="Y5" s="10">
        <f>ROUNDDOWN((V5-N4)*K4*X4/365,2)</f>
        <v>-368.94</v>
      </c>
      <c r="Z5" s="10"/>
      <c r="AA5" s="10"/>
      <c r="AB5" s="10"/>
    </row>
    <row r="6" spans="1:30" s="2" customFormat="1">
      <c r="A6" s="10"/>
      <c r="B6" s="10"/>
      <c r="C6" s="10"/>
      <c r="D6" s="10"/>
      <c r="E6" s="10"/>
      <c r="F6" s="10"/>
      <c r="G6" s="10"/>
      <c r="H6" s="10"/>
      <c r="I6" s="10"/>
      <c r="J6" s="10"/>
      <c r="K6" s="10"/>
      <c r="L6" s="10"/>
      <c r="M6" s="17"/>
      <c r="N6" s="18"/>
      <c r="O6" s="18"/>
      <c r="P6" s="19">
        <v>44947</v>
      </c>
      <c r="Q6" s="25">
        <v>1.03</v>
      </c>
      <c r="R6" s="10"/>
      <c r="S6" s="19">
        <f t="shared" ref="S6:S16" si="0">P6</f>
        <v>44947</v>
      </c>
      <c r="T6" s="25">
        <f>(S6-S5)*$K$4*$U$4/360</f>
        <v>1.03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44978</v>
      </c>
      <c r="Q7" s="25">
        <v>1.03</v>
      </c>
      <c r="R7" s="10"/>
      <c r="S7" s="19">
        <f t="shared" si="0"/>
        <v>44978</v>
      </c>
      <c r="T7" s="25">
        <f t="shared" ref="T7:T16" si="1">(S7-S6)*$K$4*$U$4/360</f>
        <v>1.03</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45006</v>
      </c>
      <c r="Q8" s="25">
        <v>0.93</v>
      </c>
      <c r="R8" s="10"/>
      <c r="S8" s="19">
        <f t="shared" si="0"/>
        <v>45006</v>
      </c>
      <c r="T8" s="25">
        <f t="shared" si="1"/>
        <v>0.93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45037</v>
      </c>
      <c r="Q9" s="25">
        <v>1.03</v>
      </c>
      <c r="R9" s="10"/>
      <c r="S9" s="19">
        <f t="shared" si="0"/>
        <v>45037</v>
      </c>
      <c r="T9" s="25">
        <f t="shared" si="1"/>
        <v>1.03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45067</v>
      </c>
      <c r="Q10" s="25">
        <v>1</v>
      </c>
      <c r="R10" s="10"/>
      <c r="S10" s="19">
        <f t="shared" si="0"/>
        <v>45067</v>
      </c>
      <c r="T10" s="25">
        <f t="shared" si="1"/>
        <v>1</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45098</v>
      </c>
      <c r="Q11" s="25">
        <v>1.03</v>
      </c>
      <c r="R11" s="10"/>
      <c r="S11" s="19">
        <f t="shared" si="0"/>
        <v>45098</v>
      </c>
      <c r="T11" s="25">
        <f t="shared" si="1"/>
        <v>1.03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45128</v>
      </c>
      <c r="Q12" s="25">
        <v>1</v>
      </c>
      <c r="R12" s="10"/>
      <c r="S12" s="19">
        <f t="shared" si="0"/>
        <v>45128</v>
      </c>
      <c r="T12" s="25">
        <f t="shared" si="1"/>
        <v>1</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45159</v>
      </c>
      <c r="Q13" s="25">
        <v>1.03</v>
      </c>
      <c r="R13" s="10"/>
      <c r="S13" s="19">
        <f t="shared" si="0"/>
        <v>45159</v>
      </c>
      <c r="T13" s="25">
        <f t="shared" si="1"/>
        <v>1.03</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45190</v>
      </c>
      <c r="Q14" s="25">
        <v>1.03</v>
      </c>
      <c r="R14" s="10"/>
      <c r="S14" s="19">
        <f t="shared" si="0"/>
        <v>45190</v>
      </c>
      <c r="T14" s="25">
        <f t="shared" si="1"/>
        <v>1.03</v>
      </c>
      <c r="U14" s="25">
        <f t="shared" si="2"/>
        <v>0</v>
      </c>
      <c r="V14" s="10"/>
      <c r="W14" s="10"/>
      <c r="X14" s="10"/>
      <c r="Y14" s="10"/>
      <c r="Z14" s="10"/>
      <c r="AA14" s="10"/>
      <c r="AB14" s="10"/>
    </row>
    <row r="15" spans="1:30" s="2" customFormat="1" ht="20.25" customHeight="1">
      <c r="A15" s="10"/>
      <c r="B15" s="10"/>
      <c r="C15" s="10"/>
      <c r="D15" s="10"/>
      <c r="E15" s="10"/>
      <c r="F15" s="10"/>
      <c r="G15" s="10"/>
      <c r="H15" s="10"/>
      <c r="I15" s="10"/>
      <c r="J15" s="10"/>
      <c r="K15" s="10"/>
      <c r="L15" s="10"/>
      <c r="M15" s="17"/>
      <c r="N15" s="18"/>
      <c r="O15" s="18"/>
      <c r="P15" s="19">
        <v>45220</v>
      </c>
      <c r="Q15" s="25">
        <v>1</v>
      </c>
      <c r="R15" s="10"/>
      <c r="S15" s="19">
        <f t="shared" si="0"/>
        <v>45220</v>
      </c>
      <c r="T15" s="25">
        <f t="shared" si="1"/>
        <v>1</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45239</v>
      </c>
      <c r="Q16" s="25">
        <v>0.63</v>
      </c>
      <c r="R16" s="10"/>
      <c r="S16" s="19">
        <f t="shared" si="0"/>
        <v>45239</v>
      </c>
      <c r="T16" s="25">
        <f t="shared" si="1"/>
        <v>0.63</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c r="A26" s="9">
        <v>2</v>
      </c>
      <c r="B26" s="9" t="str">
        <f>B4</f>
        <v>四川新科电子技术工程有限责任公司</v>
      </c>
      <c r="C26" s="9" t="str">
        <f t="shared" ref="C26:G26" si="3">C4</f>
        <v>高新区市场监督管理局</v>
      </c>
      <c r="D26" s="9" t="str">
        <f t="shared" si="3"/>
        <v>915100002018791549</v>
      </c>
      <c r="E26" s="9" t="str">
        <f t="shared" si="3"/>
        <v>民营</v>
      </c>
      <c r="F26" s="9" t="str">
        <f t="shared" si="3"/>
        <v>高新区</v>
      </c>
      <c r="G26" s="9" t="str">
        <f t="shared" si="3"/>
        <v>51001458208050034784（中国建设银行股份有限公司成都第五支行）</v>
      </c>
      <c r="H26" s="9" t="s">
        <v>130</v>
      </c>
      <c r="I26" s="9" t="s">
        <v>411</v>
      </c>
      <c r="J26" s="9" t="s">
        <v>58</v>
      </c>
      <c r="K26" s="9">
        <v>650</v>
      </c>
      <c r="L26" s="9" t="s">
        <v>415</v>
      </c>
      <c r="M26" s="20" t="s">
        <v>416</v>
      </c>
      <c r="N26" s="16">
        <v>44923</v>
      </c>
      <c r="O26" s="16">
        <v>45279</v>
      </c>
      <c r="P26" s="9">
        <f>P38-N26</f>
        <v>356</v>
      </c>
      <c r="Q26" s="22">
        <f>SUM(Q27:Q47)</f>
        <v>25.72</v>
      </c>
      <c r="R26" s="9">
        <v>9.75</v>
      </c>
      <c r="S26" s="9"/>
      <c r="T26" s="9">
        <f>SUM(T27:T47)</f>
        <v>25.72</v>
      </c>
      <c r="U26" s="23">
        <v>0.04</v>
      </c>
      <c r="V26" s="16"/>
      <c r="W26" s="9" t="s">
        <v>417</v>
      </c>
      <c r="X26" s="24">
        <v>1.4999999999999999E-2</v>
      </c>
      <c r="Y26" s="22">
        <f>ROUNDDOWN(IF((O26-N26+1)*K26*X26/365&gt;R26,R26,(O26-N26+1)*K26*X26/365),2)</f>
        <v>9.5299999999999994</v>
      </c>
      <c r="Z26" s="9">
        <f>R26-Y26</f>
        <v>0.220000000000001</v>
      </c>
      <c r="AA26" s="9" t="s">
        <v>108</v>
      </c>
      <c r="AB26" s="9" t="s">
        <v>61</v>
      </c>
      <c r="AD26" s="1">
        <f>(O26-N26+1)*K26*X26/365</f>
        <v>9.5363013698630095</v>
      </c>
    </row>
    <row r="27" spans="1:30" s="2" customFormat="1">
      <c r="A27" s="10"/>
      <c r="B27" s="10"/>
      <c r="C27" s="10"/>
      <c r="D27" s="10"/>
      <c r="E27" s="10"/>
      <c r="F27" s="10"/>
      <c r="G27" s="10"/>
      <c r="H27" s="10"/>
      <c r="I27" s="10"/>
      <c r="J27" s="10"/>
      <c r="K27" s="10"/>
      <c r="L27" s="10"/>
      <c r="M27" s="17"/>
      <c r="N27" s="18"/>
      <c r="O27" s="16"/>
      <c r="P27" s="19">
        <v>44947</v>
      </c>
      <c r="Q27" s="25">
        <v>1.73</v>
      </c>
      <c r="R27" s="10"/>
      <c r="S27" s="19">
        <f>P27</f>
        <v>44947</v>
      </c>
      <c r="T27" s="25">
        <f>(S27-N26)/360*$U$26*$K$26</f>
        <v>1.73</v>
      </c>
      <c r="U27" s="25">
        <f>T27-Q27</f>
        <v>0</v>
      </c>
      <c r="V27" s="18">
        <v>45269</v>
      </c>
      <c r="W27" s="10">
        <v>650</v>
      </c>
      <c r="X27" s="10"/>
      <c r="Y27" s="10">
        <f>ROUNDDOWN((V27-N26)*K26*X26/365,2)</f>
        <v>9.24</v>
      </c>
      <c r="Z27" s="10"/>
      <c r="AA27" s="10"/>
      <c r="AB27" s="10"/>
    </row>
    <row r="28" spans="1:30" s="2" customFormat="1">
      <c r="A28" s="10"/>
      <c r="B28" s="10"/>
      <c r="C28" s="10"/>
      <c r="D28" s="10"/>
      <c r="E28" s="10"/>
      <c r="F28" s="10"/>
      <c r="G28" s="10"/>
      <c r="H28" s="10"/>
      <c r="I28" s="10"/>
      <c r="J28" s="10"/>
      <c r="K28" s="10"/>
      <c r="L28" s="10"/>
      <c r="M28" s="17"/>
      <c r="N28" s="18"/>
      <c r="O28" s="18"/>
      <c r="P28" s="19">
        <v>44978</v>
      </c>
      <c r="Q28" s="25">
        <v>2.2400000000000002</v>
      </c>
      <c r="R28" s="10"/>
      <c r="S28" s="19">
        <f t="shared" ref="S28:S38" si="4">P28</f>
        <v>44978</v>
      </c>
      <c r="T28" s="25">
        <f>(S28-S27)*$U$26*$K$26/360</f>
        <v>2.2400000000000002</v>
      </c>
      <c r="U28" s="25">
        <f t="shared" ref="U28:U38" si="5">T28-Q28</f>
        <v>0</v>
      </c>
      <c r="V28" s="10"/>
      <c r="W28" s="10"/>
      <c r="X28" s="10"/>
      <c r="Y28" s="29"/>
      <c r="Z28" s="10"/>
      <c r="AA28" s="10"/>
      <c r="AB28" s="10"/>
    </row>
    <row r="29" spans="1:30" s="2" customFormat="1">
      <c r="A29" s="10"/>
      <c r="B29" s="10"/>
      <c r="C29" s="10"/>
      <c r="D29" s="10"/>
      <c r="E29" s="10"/>
      <c r="F29" s="10"/>
      <c r="G29" s="10"/>
      <c r="H29" s="10"/>
      <c r="I29" s="10"/>
      <c r="J29" s="10"/>
      <c r="K29" s="10"/>
      <c r="L29" s="10"/>
      <c r="M29" s="17"/>
      <c r="N29" s="18"/>
      <c r="O29" s="18"/>
      <c r="P29" s="19">
        <v>45006</v>
      </c>
      <c r="Q29" s="25">
        <v>2.02</v>
      </c>
      <c r="R29" s="10"/>
      <c r="S29" s="19">
        <f t="shared" si="4"/>
        <v>45006</v>
      </c>
      <c r="T29" s="25">
        <f t="shared" ref="T29:T38" si="6">(S29-S28)*$U$26*$K$26/360</f>
        <v>2.02</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45037</v>
      </c>
      <c r="Q30" s="25">
        <v>2.2400000000000002</v>
      </c>
      <c r="R30" s="10"/>
      <c r="S30" s="19">
        <f t="shared" si="4"/>
        <v>45037</v>
      </c>
      <c r="T30" s="25">
        <f t="shared" si="6"/>
        <v>2.2400000000000002</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45067</v>
      </c>
      <c r="Q31" s="25">
        <v>2.17</v>
      </c>
      <c r="R31" s="10"/>
      <c r="S31" s="19">
        <f t="shared" si="4"/>
        <v>45067</v>
      </c>
      <c r="T31" s="25">
        <f t="shared" si="6"/>
        <v>2.17</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45098</v>
      </c>
      <c r="Q32" s="25">
        <v>2.2400000000000002</v>
      </c>
      <c r="R32" s="10"/>
      <c r="S32" s="19">
        <f t="shared" si="4"/>
        <v>45098</v>
      </c>
      <c r="T32" s="25">
        <f t="shared" si="6"/>
        <v>2.2400000000000002</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45128</v>
      </c>
      <c r="Q33" s="25">
        <v>2.17</v>
      </c>
      <c r="R33" s="10"/>
      <c r="S33" s="19">
        <f t="shared" si="4"/>
        <v>45128</v>
      </c>
      <c r="T33" s="25">
        <f t="shared" si="6"/>
        <v>2.17</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45159</v>
      </c>
      <c r="Q34" s="25">
        <v>2.2400000000000002</v>
      </c>
      <c r="R34" s="10"/>
      <c r="S34" s="19">
        <f t="shared" si="4"/>
        <v>45159</v>
      </c>
      <c r="T34" s="25">
        <f t="shared" si="6"/>
        <v>2.2400000000000002</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45190</v>
      </c>
      <c r="Q35" s="25">
        <v>2.2400000000000002</v>
      </c>
      <c r="R35" s="10"/>
      <c r="S35" s="19">
        <f t="shared" si="4"/>
        <v>45190</v>
      </c>
      <c r="T35" s="25">
        <f t="shared" si="6"/>
        <v>2.2400000000000002</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45220</v>
      </c>
      <c r="Q36" s="25">
        <v>2.17</v>
      </c>
      <c r="R36" s="10"/>
      <c r="S36" s="19">
        <f t="shared" si="4"/>
        <v>45220</v>
      </c>
      <c r="T36" s="25">
        <f t="shared" si="6"/>
        <v>2.17</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45251</v>
      </c>
      <c r="Q37" s="25">
        <v>2.2400000000000002</v>
      </c>
      <c r="R37" s="10"/>
      <c r="S37" s="19">
        <f t="shared" si="4"/>
        <v>45251</v>
      </c>
      <c r="T37" s="25">
        <f t="shared" si="6"/>
        <v>2.2400000000000002</v>
      </c>
      <c r="U37" s="25">
        <f t="shared" si="5"/>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45279</v>
      </c>
      <c r="Q38" s="25">
        <v>2.02</v>
      </c>
      <c r="R38" s="10"/>
      <c r="S38" s="19">
        <f t="shared" si="4"/>
        <v>45279</v>
      </c>
      <c r="T38" s="25">
        <f t="shared" si="6"/>
        <v>2.02</v>
      </c>
      <c r="U38" s="25">
        <f t="shared" si="5"/>
        <v>0</v>
      </c>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四川新科电子技术工程有限责任公司</v>
      </c>
      <c r="C48" s="9" t="str">
        <f t="shared" ref="C48:G48" si="7">C26</f>
        <v>高新区市场监督管理局</v>
      </c>
      <c r="D48" s="9" t="str">
        <f t="shared" si="7"/>
        <v>915100002018791549</v>
      </c>
      <c r="E48" s="9" t="str">
        <f t="shared" si="7"/>
        <v>民营</v>
      </c>
      <c r="F48" s="9" t="str">
        <f t="shared" si="7"/>
        <v>高新区</v>
      </c>
      <c r="G48" s="9" t="str">
        <f t="shared" si="7"/>
        <v>51001458208050034784（中国建设银行股份有限公司成都第五支行）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四川新科电子技术工程有限责任公司</v>
      </c>
      <c r="C70" s="9" t="str">
        <f t="shared" ref="C70:G70" si="10">C48</f>
        <v>高新区市场监督管理局</v>
      </c>
      <c r="D70" s="9" t="str">
        <f t="shared" si="10"/>
        <v>915100002018791549</v>
      </c>
      <c r="E70" s="9" t="str">
        <f t="shared" si="10"/>
        <v>民营</v>
      </c>
      <c r="F70" s="9" t="str">
        <f t="shared" si="10"/>
        <v>高新区</v>
      </c>
      <c r="G70" s="9" t="str">
        <f t="shared" si="10"/>
        <v>51001458208050034784（中国建设银行股份有限公司成都第五支行）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四川新科电子技术工程有限责任公司</v>
      </c>
      <c r="C92" s="9" t="str">
        <f t="shared" ref="C92:G92" si="11">C70</f>
        <v>高新区市场监督管理局</v>
      </c>
      <c r="D92" s="9" t="str">
        <f t="shared" si="11"/>
        <v>915100002018791549</v>
      </c>
      <c r="E92" s="9" t="str">
        <f t="shared" si="11"/>
        <v>民营</v>
      </c>
      <c r="F92" s="9" t="str">
        <f t="shared" si="11"/>
        <v>高新区</v>
      </c>
      <c r="G92" s="9" t="str">
        <f t="shared" si="11"/>
        <v>51001458208050034784（中国建设银行股份有限公司成都第五支行）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950</v>
      </c>
      <c r="L114" s="9"/>
      <c r="M114" s="20"/>
      <c r="N114" s="16"/>
      <c r="O114" s="16"/>
      <c r="P114" s="9"/>
      <c r="Q114" s="9"/>
      <c r="R114" s="9">
        <f>R92+R70+R48+R26++R4</f>
        <v>12.75</v>
      </c>
      <c r="S114" s="9"/>
      <c r="T114" s="9"/>
      <c r="U114" s="9"/>
      <c r="V114" s="9"/>
      <c r="W114" s="9"/>
      <c r="X114" s="9"/>
      <c r="Y114" s="9">
        <f>Y92+Y70+Y48+Y26++Y4</f>
        <v>12.42</v>
      </c>
      <c r="Z114" s="9"/>
      <c r="AA114" s="9"/>
      <c r="AB114" s="9"/>
    </row>
    <row r="115" spans="1:28">
      <c r="I115" t="s">
        <v>49</v>
      </c>
      <c r="K115">
        <f>IF(K114&gt;3000,K116,K114)</f>
        <v>950</v>
      </c>
    </row>
    <row r="116" spans="1:28">
      <c r="K116" t="s">
        <v>50</v>
      </c>
    </row>
  </sheetData>
  <autoFilter ref="A3:AD16" xr:uid="{00000000-0009-0000-0000-000029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116"/>
  <sheetViews>
    <sheetView topLeftCell="G1" zoomScale="70" zoomScaleNormal="70" workbookViewId="0">
      <pane ySplit="3" topLeftCell="A4" activePane="bottomLeft" state="frozen"/>
      <selection pane="bottomLeft" activeCell="N4" sqref="N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四川金信石信息技术有限公司审计明细表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418</v>
      </c>
      <c r="C4" s="9" t="s">
        <v>32</v>
      </c>
      <c r="D4" s="9" t="s">
        <v>419</v>
      </c>
      <c r="E4" s="9" t="s">
        <v>78</v>
      </c>
      <c r="F4" s="9" t="s">
        <v>35</v>
      </c>
      <c r="G4" s="9" t="s">
        <v>420</v>
      </c>
      <c r="H4" s="9" t="s">
        <v>71</v>
      </c>
      <c r="I4" s="9" t="s">
        <v>421</v>
      </c>
      <c r="J4" s="9" t="s">
        <v>39</v>
      </c>
      <c r="K4" s="9">
        <v>500</v>
      </c>
      <c r="L4" s="9" t="s">
        <v>422</v>
      </c>
      <c r="M4" s="20" t="s">
        <v>423</v>
      </c>
      <c r="N4" s="16">
        <v>44932</v>
      </c>
      <c r="O4" s="16">
        <v>45288</v>
      </c>
      <c r="P4" s="9">
        <f>P16-N4</f>
        <v>348</v>
      </c>
      <c r="Q4" s="22">
        <f>SUM(Q5:Q25)</f>
        <v>18.88</v>
      </c>
      <c r="R4" s="22">
        <v>7.3970000000000002</v>
      </c>
      <c r="S4" s="9"/>
      <c r="T4" s="22">
        <f>SUM(T5:T25)</f>
        <v>18.87</v>
      </c>
      <c r="U4" s="23">
        <v>3.9E-2</v>
      </c>
      <c r="V4" s="16"/>
      <c r="W4" s="9" t="s">
        <v>424</v>
      </c>
      <c r="X4" s="24">
        <v>1.4999999999999999E-2</v>
      </c>
      <c r="Y4" s="9">
        <f>ROUNDDOWN(IF((O4-N4+1)*K4*X4/365&gt;R4,R4,(O4-N4+1)*K4*X4/365),2)</f>
        <v>7.33</v>
      </c>
      <c r="Z4" s="22">
        <f>R4-Y4</f>
        <v>7.0000000000000007E-2</v>
      </c>
      <c r="AA4" s="22" t="s">
        <v>108</v>
      </c>
      <c r="AB4" s="9" t="s">
        <v>61</v>
      </c>
      <c r="AD4" s="28">
        <f>(O4-N4+1)*K4*X4/365</f>
        <v>7.3356000000000003</v>
      </c>
    </row>
    <row r="5" spans="1:30" s="2" customFormat="1" ht="56">
      <c r="A5" s="10"/>
      <c r="B5" s="10"/>
      <c r="C5" s="10"/>
      <c r="D5" s="10"/>
      <c r="E5" s="10"/>
      <c r="F5" s="10"/>
      <c r="G5" s="10"/>
      <c r="H5" s="10"/>
      <c r="I5" s="10"/>
      <c r="J5" s="10"/>
      <c r="K5" s="10"/>
      <c r="L5" s="10"/>
      <c r="M5" s="17" t="s">
        <v>425</v>
      </c>
      <c r="N5" s="18"/>
      <c r="O5" s="16">
        <v>45296</v>
      </c>
      <c r="P5" s="19">
        <v>44957</v>
      </c>
      <c r="Q5" s="25">
        <v>0.76</v>
      </c>
      <c r="R5" s="10"/>
      <c r="S5" s="19">
        <f>P5</f>
        <v>44957</v>
      </c>
      <c r="T5" s="25">
        <f>(S5-N4)/360*$U$4*$K$4</f>
        <v>1.35</v>
      </c>
      <c r="U5" s="25">
        <f>T5-Q5</f>
        <v>0.59</v>
      </c>
      <c r="V5" s="18">
        <v>45288</v>
      </c>
      <c r="W5" s="10">
        <v>500</v>
      </c>
      <c r="X5" s="10"/>
      <c r="Y5" s="10">
        <f>ROUNDDOWN((V5-N4)*K4*X4/365,2)</f>
        <v>7.31</v>
      </c>
      <c r="Z5" s="10"/>
      <c r="AA5" s="10"/>
      <c r="AB5" s="10"/>
    </row>
    <row r="6" spans="1:30" s="2" customFormat="1">
      <c r="A6" s="10"/>
      <c r="B6" s="10"/>
      <c r="C6" s="10"/>
      <c r="D6" s="10"/>
      <c r="E6" s="10"/>
      <c r="F6" s="10"/>
      <c r="G6" s="10"/>
      <c r="H6" s="10"/>
      <c r="I6" s="10"/>
      <c r="J6" s="10"/>
      <c r="K6" s="10"/>
      <c r="L6" s="10"/>
      <c r="M6" s="17"/>
      <c r="N6" s="18"/>
      <c r="O6" s="18"/>
      <c r="P6" s="19">
        <v>44985</v>
      </c>
      <c r="Q6" s="25">
        <v>1.68</v>
      </c>
      <c r="R6" s="10"/>
      <c r="S6" s="19">
        <f t="shared" ref="S6:S16" si="0">P6</f>
        <v>44985</v>
      </c>
      <c r="T6" s="25">
        <f>(S6-S5)*$K$4*$U$4/360</f>
        <v>1.52</v>
      </c>
      <c r="U6" s="25">
        <f>T6-Q6</f>
        <v>-0.16</v>
      </c>
      <c r="V6" s="10"/>
      <c r="W6" s="10"/>
      <c r="X6" s="10"/>
      <c r="Y6" s="10"/>
      <c r="Z6" s="10"/>
      <c r="AA6" s="10"/>
      <c r="AB6" s="10"/>
    </row>
    <row r="7" spans="1:30" s="2" customFormat="1">
      <c r="A7" s="10"/>
      <c r="B7" s="10"/>
      <c r="C7" s="10"/>
      <c r="D7" s="10"/>
      <c r="E7" s="10"/>
      <c r="F7" s="10"/>
      <c r="G7" s="10"/>
      <c r="H7" s="10"/>
      <c r="I7" s="10"/>
      <c r="J7" s="10"/>
      <c r="K7" s="10"/>
      <c r="L7" s="10"/>
      <c r="M7" s="17"/>
      <c r="N7" s="18"/>
      <c r="O7" s="18"/>
      <c r="P7" s="19">
        <v>45016</v>
      </c>
      <c r="Q7" s="25">
        <v>1.52</v>
      </c>
      <c r="R7" s="10"/>
      <c r="S7" s="19">
        <f t="shared" si="0"/>
        <v>45016</v>
      </c>
      <c r="T7" s="25">
        <f t="shared" ref="T7:T16" si="1">(S7-S6)*$K$4*$U$4/360</f>
        <v>1.68</v>
      </c>
      <c r="U7" s="25">
        <f t="shared" ref="U7:U16" si="2">T7-Q7</f>
        <v>0.16</v>
      </c>
      <c r="V7" s="10"/>
      <c r="W7" s="10"/>
      <c r="X7" s="10"/>
      <c r="Y7" s="10"/>
      <c r="Z7" s="10"/>
      <c r="AA7" s="10"/>
      <c r="AB7" s="10"/>
    </row>
    <row r="8" spans="1:30" s="2" customFormat="1">
      <c r="A8" s="10"/>
      <c r="B8" s="10"/>
      <c r="C8" s="10"/>
      <c r="D8" s="10"/>
      <c r="E8" s="10"/>
      <c r="F8" s="10"/>
      <c r="G8" s="10"/>
      <c r="H8" s="10"/>
      <c r="I8" s="10"/>
      <c r="J8" s="10"/>
      <c r="K8" s="10"/>
      <c r="L8" s="10"/>
      <c r="M8" s="17"/>
      <c r="N8" s="18"/>
      <c r="O8" s="18"/>
      <c r="P8" s="19">
        <v>45044</v>
      </c>
      <c r="Q8" s="25">
        <v>1.68</v>
      </c>
      <c r="R8" s="10"/>
      <c r="S8" s="19">
        <f t="shared" si="0"/>
        <v>45044</v>
      </c>
      <c r="T8" s="25">
        <f t="shared" si="1"/>
        <v>1.52</v>
      </c>
      <c r="U8" s="25">
        <f t="shared" si="2"/>
        <v>-0.16</v>
      </c>
      <c r="V8" s="10"/>
      <c r="W8" s="10"/>
      <c r="X8" s="10"/>
      <c r="Y8" s="10"/>
      <c r="Z8" s="10"/>
      <c r="AA8" s="10"/>
      <c r="AB8" s="10"/>
    </row>
    <row r="9" spans="1:30" s="2" customFormat="1">
      <c r="A9" s="10"/>
      <c r="B9" s="10"/>
      <c r="C9" s="10"/>
      <c r="D9" s="10"/>
      <c r="E9" s="10"/>
      <c r="F9" s="10"/>
      <c r="G9" s="10"/>
      <c r="H9" s="10"/>
      <c r="I9" s="10"/>
      <c r="J9" s="10"/>
      <c r="K9" s="10"/>
      <c r="L9" s="10"/>
      <c r="M9" s="17"/>
      <c r="N9" s="18"/>
      <c r="O9" s="18"/>
      <c r="P9" s="19">
        <v>45077</v>
      </c>
      <c r="Q9" s="25">
        <v>1.63</v>
      </c>
      <c r="R9" s="10"/>
      <c r="S9" s="19">
        <f t="shared" si="0"/>
        <v>45077</v>
      </c>
      <c r="T9" s="25">
        <f t="shared" si="1"/>
        <v>1.79</v>
      </c>
      <c r="U9" s="25">
        <f t="shared" si="2"/>
        <v>0.16</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45107</v>
      </c>
      <c r="Q10" s="25">
        <v>1.68</v>
      </c>
      <c r="R10" s="10"/>
      <c r="S10" s="19">
        <f t="shared" si="0"/>
        <v>45107</v>
      </c>
      <c r="T10" s="25">
        <f t="shared" si="1"/>
        <v>1.63</v>
      </c>
      <c r="U10" s="25">
        <f t="shared" si="2"/>
        <v>-0.05</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45138</v>
      </c>
      <c r="Q11" s="25">
        <v>1.63</v>
      </c>
      <c r="R11" s="10"/>
      <c r="S11" s="19">
        <f t="shared" si="0"/>
        <v>45138</v>
      </c>
      <c r="T11" s="25">
        <f t="shared" si="1"/>
        <v>1.68</v>
      </c>
      <c r="U11" s="25">
        <f t="shared" si="2"/>
        <v>0.05</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45166</v>
      </c>
      <c r="Q12" s="25">
        <v>1.68</v>
      </c>
      <c r="R12" s="10"/>
      <c r="S12" s="19">
        <f t="shared" si="0"/>
        <v>45166</v>
      </c>
      <c r="T12" s="25">
        <f t="shared" si="1"/>
        <v>1.52</v>
      </c>
      <c r="U12" s="25">
        <f t="shared" si="2"/>
        <v>-0.16</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45197</v>
      </c>
      <c r="Q13" s="25">
        <v>1.68</v>
      </c>
      <c r="R13" s="10"/>
      <c r="S13" s="19">
        <f t="shared" si="0"/>
        <v>45197</v>
      </c>
      <c r="T13" s="25">
        <f t="shared" si="1"/>
        <v>1.68</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45230</v>
      </c>
      <c r="Q14" s="25">
        <v>1.63</v>
      </c>
      <c r="R14" s="10"/>
      <c r="S14" s="19">
        <f t="shared" si="0"/>
        <v>45230</v>
      </c>
      <c r="T14" s="25">
        <f t="shared" si="1"/>
        <v>1.79</v>
      </c>
      <c r="U14" s="25">
        <f t="shared" si="2"/>
        <v>0.16</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45260</v>
      </c>
      <c r="Q15" s="25">
        <v>1.68</v>
      </c>
      <c r="R15" s="10"/>
      <c r="S15" s="19">
        <f t="shared" si="0"/>
        <v>45260</v>
      </c>
      <c r="T15" s="25">
        <f t="shared" si="1"/>
        <v>1.63</v>
      </c>
      <c r="U15" s="25">
        <f t="shared" si="2"/>
        <v>-0.05</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45280</v>
      </c>
      <c r="Q16" s="25">
        <v>1.63</v>
      </c>
      <c r="R16" s="10"/>
      <c r="S16" s="19">
        <f t="shared" si="0"/>
        <v>45280</v>
      </c>
      <c r="T16" s="25">
        <f t="shared" si="1"/>
        <v>1.08</v>
      </c>
      <c r="U16" s="25">
        <f t="shared" si="2"/>
        <v>-0.55000000000000004</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四川金信石信息技术有限公司</v>
      </c>
      <c r="C26" s="9" t="str">
        <f t="shared" ref="C26:G26" si="3">C4</f>
        <v>成都高新技术产业开发区市场监督管理局</v>
      </c>
      <c r="D26" s="9" t="str">
        <f t="shared" si="3"/>
        <v>91510100562012046W</v>
      </c>
      <c r="E26" s="9" t="str">
        <f t="shared" si="3"/>
        <v>民营企业</v>
      </c>
      <c r="F26" s="9" t="str">
        <f t="shared" si="3"/>
        <v>国家税务总局成都高新技术产业开发区税务局</v>
      </c>
      <c r="G26" s="9" t="str">
        <f t="shared" si="3"/>
        <v>1001300000715090成都银行交大路支行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四川金信石信息技术有限公司</v>
      </c>
      <c r="C48" s="9" t="str">
        <f t="shared" ref="C48:G48" si="7">C26</f>
        <v>成都高新技术产业开发区市场监督管理局</v>
      </c>
      <c r="D48" s="9" t="str">
        <f t="shared" si="7"/>
        <v>91510100562012046W</v>
      </c>
      <c r="E48" s="9" t="str">
        <f t="shared" si="7"/>
        <v>民营企业</v>
      </c>
      <c r="F48" s="9" t="str">
        <f t="shared" si="7"/>
        <v>国家税务总局成都高新技术产业开发区税务局</v>
      </c>
      <c r="G48" s="9" t="str">
        <f t="shared" si="7"/>
        <v>1001300000715090成都银行交大路支行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四川金信石信息技术有限公司</v>
      </c>
      <c r="C70" s="9" t="str">
        <f t="shared" ref="C70:G70" si="10">C48</f>
        <v>成都高新技术产业开发区市场监督管理局</v>
      </c>
      <c r="D70" s="9" t="str">
        <f t="shared" si="10"/>
        <v>91510100562012046W</v>
      </c>
      <c r="E70" s="9" t="str">
        <f t="shared" si="10"/>
        <v>民营企业</v>
      </c>
      <c r="F70" s="9" t="str">
        <f t="shared" si="10"/>
        <v>国家税务总局成都高新技术产业开发区税务局</v>
      </c>
      <c r="G70" s="9" t="str">
        <f t="shared" si="10"/>
        <v>1001300000715090成都银行交大路支行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四川金信石信息技术有限公司</v>
      </c>
      <c r="C92" s="9" t="str">
        <f t="shared" ref="C92:G92" si="11">C70</f>
        <v>成都高新技术产业开发区市场监督管理局</v>
      </c>
      <c r="D92" s="9" t="str">
        <f t="shared" si="11"/>
        <v>91510100562012046W</v>
      </c>
      <c r="E92" s="9" t="str">
        <f t="shared" si="11"/>
        <v>民营企业</v>
      </c>
      <c r="F92" s="9" t="str">
        <f t="shared" si="11"/>
        <v>国家税务总局成都高新技术产业开发区税务局</v>
      </c>
      <c r="G92" s="9" t="str">
        <f t="shared" si="11"/>
        <v>1001300000715090成都银行交大路支行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9">
        <f>R92+R70+R48+R26++R4</f>
        <v>7.3970000000000002</v>
      </c>
      <c r="S114" s="9"/>
      <c r="T114" s="9"/>
      <c r="U114" s="9"/>
      <c r="V114" s="9"/>
      <c r="W114" s="9"/>
      <c r="X114" s="9"/>
      <c r="Y114" s="9">
        <f>Y92+Y70+Y48+Y26++Y4</f>
        <v>7.33</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116"/>
  <sheetViews>
    <sheetView topLeftCell="H1" zoomScale="70" zoomScaleNormal="70" workbookViewId="0">
      <pane ySplit="3" topLeftCell="A4"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成都天马微电子有限公司审计明细表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210">
      <c r="A4" s="9">
        <v>1</v>
      </c>
      <c r="B4" s="9" t="s">
        <v>426</v>
      </c>
      <c r="C4" s="9" t="s">
        <v>427</v>
      </c>
      <c r="D4" s="9" t="s">
        <v>428</v>
      </c>
      <c r="E4" s="9" t="s">
        <v>373</v>
      </c>
      <c r="F4" s="9" t="s">
        <v>35</v>
      </c>
      <c r="G4" s="9" t="s">
        <v>429</v>
      </c>
      <c r="H4" s="9" t="s">
        <v>430</v>
      </c>
      <c r="I4" s="9" t="s">
        <v>431</v>
      </c>
      <c r="J4" s="9" t="s">
        <v>432</v>
      </c>
      <c r="K4" s="9">
        <v>3000</v>
      </c>
      <c r="L4" s="9" t="s">
        <v>433</v>
      </c>
      <c r="M4" s="20" t="s">
        <v>434</v>
      </c>
      <c r="N4" s="16">
        <v>45279</v>
      </c>
      <c r="O4" s="16">
        <v>45291</v>
      </c>
      <c r="P4" s="9">
        <f>P6-N4</f>
        <v>12</v>
      </c>
      <c r="Q4" s="22">
        <f>SUM(Q5:Q25)</f>
        <v>21.21</v>
      </c>
      <c r="R4" s="22">
        <v>2.14</v>
      </c>
      <c r="S4" s="9"/>
      <c r="T4" s="22">
        <f>SUM(T5:T25)</f>
        <v>18.600000000000001</v>
      </c>
      <c r="U4" s="23">
        <v>2.4E-2</v>
      </c>
      <c r="V4" s="16"/>
      <c r="W4" s="9" t="s">
        <v>42</v>
      </c>
      <c r="X4" s="24">
        <v>0.02</v>
      </c>
      <c r="Y4" s="9">
        <f>ROUNDDOWN(IF((O4-N4+1)*K4*X4/365&gt;R4,R4,(O4-N4+1)*K4*X4/365),2)</f>
        <v>2.13</v>
      </c>
      <c r="Z4" s="22">
        <f>R4-Y4</f>
        <v>0.01</v>
      </c>
      <c r="AA4" s="22" t="s">
        <v>43</v>
      </c>
      <c r="AB4" s="9" t="s">
        <v>61</v>
      </c>
      <c r="AD4" s="28">
        <f>(O4-N4+1)*K4*X4/365</f>
        <v>2.137</v>
      </c>
    </row>
    <row r="5" spans="1:30" s="2" customFormat="1">
      <c r="A5" s="10"/>
      <c r="B5" s="10"/>
      <c r="C5" s="10"/>
      <c r="D5" s="10"/>
      <c r="E5" s="10"/>
      <c r="F5" s="10"/>
      <c r="G5" s="10"/>
      <c r="H5" s="10"/>
      <c r="I5" s="10"/>
      <c r="J5" s="10"/>
      <c r="K5" s="10"/>
      <c r="L5" s="10"/>
      <c r="M5" s="17"/>
      <c r="N5" s="18"/>
      <c r="O5" s="16">
        <v>46364</v>
      </c>
      <c r="P5" s="19">
        <v>45281</v>
      </c>
      <c r="Q5" s="25">
        <f>0.13*3</f>
        <v>0.39</v>
      </c>
      <c r="R5" s="10"/>
      <c r="S5" s="19">
        <f>P5</f>
        <v>45281</v>
      </c>
      <c r="T5" s="25">
        <f>(S5-N4)/360*$U$4*$K$4</f>
        <v>0.4</v>
      </c>
      <c r="U5" s="25">
        <f>T5-Q5</f>
        <v>0.01</v>
      </c>
      <c r="V5" s="18"/>
      <c r="W5" s="10"/>
      <c r="X5" s="10"/>
      <c r="Y5" s="10">
        <f>ROUNDDOWN((V5-N4)*K4*X4/365,2)</f>
        <v>-7443.12</v>
      </c>
      <c r="Z5" s="10"/>
      <c r="AA5" s="10"/>
      <c r="AB5" s="10"/>
    </row>
    <row r="6" spans="1:30" s="2" customFormat="1">
      <c r="A6" s="10"/>
      <c r="B6" s="10"/>
      <c r="C6" s="10"/>
      <c r="D6" s="10"/>
      <c r="E6" s="10"/>
      <c r="F6" s="10"/>
      <c r="G6" s="10"/>
      <c r="H6" s="10"/>
      <c r="I6" s="10"/>
      <c r="J6" s="10"/>
      <c r="K6" s="10"/>
      <c r="L6" s="10"/>
      <c r="M6" s="17"/>
      <c r="N6" s="18"/>
      <c r="O6" s="18"/>
      <c r="P6" s="19">
        <v>45291</v>
      </c>
      <c r="Q6" s="25">
        <f>0.87*3</f>
        <v>2.61</v>
      </c>
      <c r="R6" s="10"/>
      <c r="S6" s="19">
        <f>P6</f>
        <v>45291</v>
      </c>
      <c r="T6" s="25">
        <f>(S6-S5)*$K$4*$U$4/360</f>
        <v>2</v>
      </c>
      <c r="U6" s="25">
        <f>T6-Q6</f>
        <v>-0.61</v>
      </c>
      <c r="V6" s="10"/>
      <c r="W6" s="10"/>
      <c r="X6" s="10"/>
      <c r="Y6" s="10"/>
      <c r="Z6" s="10"/>
      <c r="AA6" s="10"/>
      <c r="AB6" s="10"/>
    </row>
    <row r="7" spans="1:30" s="2" customFormat="1">
      <c r="A7" s="10"/>
      <c r="B7" s="10"/>
      <c r="C7" s="10"/>
      <c r="D7" s="10"/>
      <c r="E7" s="10"/>
      <c r="F7" s="10"/>
      <c r="G7" s="10"/>
      <c r="H7" s="10"/>
      <c r="I7" s="10"/>
      <c r="J7" s="10"/>
      <c r="K7" s="10"/>
      <c r="L7" s="10"/>
      <c r="M7" s="17"/>
      <c r="N7" s="18"/>
      <c r="O7" s="18"/>
      <c r="P7" s="19">
        <v>45372</v>
      </c>
      <c r="Q7" s="25">
        <f>6.07*3</f>
        <v>18.21</v>
      </c>
      <c r="R7" s="10"/>
      <c r="S7" s="19">
        <f>P7</f>
        <v>45372</v>
      </c>
      <c r="T7" s="25">
        <f t="shared" ref="T7" si="0">(S7-S6)*$K$4*$U$4/360</f>
        <v>16.2</v>
      </c>
      <c r="U7" s="25">
        <f>T7-Q7</f>
        <v>-2.0099999999999998</v>
      </c>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成都天马微电子有限公司</v>
      </c>
      <c r="C26" s="9" t="str">
        <f t="shared" ref="C26:G26" si="1">C4</f>
        <v>成都市高新技术产业开发区市场监督管理局</v>
      </c>
      <c r="D26" s="9" t="str">
        <f t="shared" si="1"/>
        <v>9151010067966155X9</v>
      </c>
      <c r="E26" s="9" t="str">
        <f t="shared" si="1"/>
        <v>国有</v>
      </c>
      <c r="F26" s="9" t="str">
        <f t="shared" si="1"/>
        <v>国家税务总局成都高新技术产业开发区税务局</v>
      </c>
      <c r="G26" s="9" t="str">
        <f t="shared" si="1"/>
        <v>4402254719100095764中国工商银行股份有限公司成都郫都鹃城支行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2">P28</f>
        <v>0</v>
      </c>
      <c r="T28" s="25">
        <f>(S28-S27)*$U$26*$K$26/360</f>
        <v>0</v>
      </c>
      <c r="U28" s="25">
        <f t="shared" ref="U28:U37" si="3">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2"/>
        <v>0</v>
      </c>
      <c r="T29" s="25">
        <f t="shared" ref="T29:T36" si="4">(S29-S28)*$U$26*$K$26/360</f>
        <v>0</v>
      </c>
      <c r="U29" s="25">
        <f t="shared" si="3"/>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2"/>
        <v>0</v>
      </c>
      <c r="T30" s="25">
        <f t="shared" si="4"/>
        <v>0</v>
      </c>
      <c r="U30" s="25">
        <f t="shared" si="3"/>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2"/>
        <v>0</v>
      </c>
      <c r="T31" s="25">
        <f t="shared" si="4"/>
        <v>0</v>
      </c>
      <c r="U31" s="25">
        <f t="shared" si="3"/>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2"/>
        <v>0</v>
      </c>
      <c r="T32" s="25">
        <f t="shared" si="4"/>
        <v>0</v>
      </c>
      <c r="U32" s="25">
        <f t="shared" si="3"/>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2"/>
        <v>0</v>
      </c>
      <c r="T33" s="25">
        <f t="shared" si="4"/>
        <v>0</v>
      </c>
      <c r="U33" s="25">
        <f t="shared" si="3"/>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2"/>
        <v>0</v>
      </c>
      <c r="T34" s="25">
        <f t="shared" si="4"/>
        <v>0</v>
      </c>
      <c r="U34" s="25">
        <f t="shared" si="3"/>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2"/>
        <v>0</v>
      </c>
      <c r="T35" s="25">
        <f t="shared" si="4"/>
        <v>0</v>
      </c>
      <c r="U35" s="25">
        <f t="shared" si="3"/>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2"/>
        <v>0</v>
      </c>
      <c r="T36" s="25">
        <f t="shared" si="4"/>
        <v>0</v>
      </c>
      <c r="U36" s="25">
        <f t="shared" si="3"/>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3"/>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成都天马微电子有限公司</v>
      </c>
      <c r="C48" s="9" t="str">
        <f t="shared" ref="C48:G48" si="5">C26</f>
        <v>成都市高新技术产业开发区市场监督管理局</v>
      </c>
      <c r="D48" s="9" t="str">
        <f t="shared" si="5"/>
        <v>9151010067966155X9</v>
      </c>
      <c r="E48" s="9" t="str">
        <f t="shared" si="5"/>
        <v>国有</v>
      </c>
      <c r="F48" s="9" t="str">
        <f t="shared" si="5"/>
        <v>国家税务总局成都高新技术产业开发区税务局</v>
      </c>
      <c r="G48" s="9" t="str">
        <f t="shared" si="5"/>
        <v>4402254719100095764中国工商银行股份有限公司成都郫都鹃城支行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6">P50</f>
        <v>0</v>
      </c>
      <c r="T50" s="25">
        <f>(S50-S49)*$U$48*$K$48/360</f>
        <v>0</v>
      </c>
      <c r="U50" s="25">
        <f t="shared" ref="U50" si="7">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成都天马微电子有限公司</v>
      </c>
      <c r="C70" s="9" t="str">
        <f t="shared" ref="C70:G70" si="8">C48</f>
        <v>成都市高新技术产业开发区市场监督管理局</v>
      </c>
      <c r="D70" s="9" t="str">
        <f t="shared" si="8"/>
        <v>9151010067966155X9</v>
      </c>
      <c r="E70" s="9" t="str">
        <f t="shared" si="8"/>
        <v>国有</v>
      </c>
      <c r="F70" s="9" t="str">
        <f t="shared" si="8"/>
        <v>国家税务总局成都高新技术产业开发区税务局</v>
      </c>
      <c r="G70" s="9" t="str">
        <f t="shared" si="8"/>
        <v>4402254719100095764中国工商银行股份有限公司成都郫都鹃城支行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成都天马微电子有限公司</v>
      </c>
      <c r="C92" s="9" t="str">
        <f t="shared" ref="C92:G92" si="9">C70</f>
        <v>成都市高新技术产业开发区市场监督管理局</v>
      </c>
      <c r="D92" s="9" t="str">
        <f t="shared" si="9"/>
        <v>9151010067966155X9</v>
      </c>
      <c r="E92" s="9" t="str">
        <f t="shared" si="9"/>
        <v>国有</v>
      </c>
      <c r="F92" s="9" t="str">
        <f t="shared" si="9"/>
        <v>国家税务总局成都高新技术产业开发区税务局</v>
      </c>
      <c r="G92" s="9" t="str">
        <f t="shared" si="9"/>
        <v>4402254719100095764中国工商银行股份有限公司成都郫都鹃城支行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3000</v>
      </c>
      <c r="L114" s="9"/>
      <c r="M114" s="20"/>
      <c r="N114" s="16"/>
      <c r="O114" s="16"/>
      <c r="P114" s="9"/>
      <c r="Q114" s="9"/>
      <c r="R114" s="22">
        <f>R92+R70+R48+R26+R4</f>
        <v>2.14</v>
      </c>
      <c r="S114" s="9"/>
      <c r="T114" s="9"/>
      <c r="U114" s="9"/>
      <c r="V114" s="9"/>
      <c r="W114" s="9"/>
      <c r="X114" s="9"/>
      <c r="Y114" s="9">
        <f>Y92+Y70+Y48+Y26++Y4</f>
        <v>2.13</v>
      </c>
      <c r="Z114" s="9"/>
      <c r="AA114" s="9"/>
      <c r="AB114" s="9"/>
    </row>
    <row r="115" spans="1:28">
      <c r="I115" t="s">
        <v>49</v>
      </c>
      <c r="K115">
        <f>IF(K114&gt;3000,K116,K114)</f>
        <v>3000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116"/>
  <sheetViews>
    <sheetView topLeftCell="L1" zoomScale="80" zoomScaleNormal="80" workbookViewId="0">
      <pane ySplit="3" topLeftCell="A4" activePane="bottomLeft" state="frozen"/>
      <selection pane="bottomLeft" activeCell="N4" sqref="N4:AB4"/>
    </sheetView>
  </sheetViews>
  <sheetFormatPr defaultColWidth="9" defaultRowHeight="14"/>
  <cols>
    <col min="4" max="4" width="12.33203125" customWidth="1"/>
    <col min="7" max="7" width="9" customWidth="1"/>
    <col min="13" max="13" width="9" style="3"/>
    <col min="14" max="15" width="10.75" style="4" customWidth="1"/>
    <col min="16" max="16" width="9.83203125" customWidth="1"/>
    <col min="19" max="19" width="9.83203125" customWidth="1"/>
    <col min="20" max="20" width="11.33203125" customWidth="1"/>
    <col min="21" max="21" width="12.25" customWidth="1"/>
    <col min="22" max="22" width="11.5" customWidth="1"/>
    <col min="25" max="25" width="11.75" customWidth="1"/>
    <col min="29" max="29" width="9" hidden="1" customWidth="1"/>
    <col min="30" max="30" width="11.75" customWidth="1"/>
  </cols>
  <sheetData>
    <row r="1" spans="1:30" ht="25">
      <c r="B1" s="154" t="str">
        <f>B4&amp;AC1</f>
        <v>海创药业股份有限公司审计明细表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36">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435</v>
      </c>
      <c r="C4" s="9" t="s">
        <v>52</v>
      </c>
      <c r="D4" s="20" t="s">
        <v>436</v>
      </c>
      <c r="E4" s="9" t="s">
        <v>437</v>
      </c>
      <c r="F4" s="9" t="s">
        <v>154</v>
      </c>
      <c r="G4" s="9" t="s">
        <v>438</v>
      </c>
      <c r="H4" s="9" t="s">
        <v>156</v>
      </c>
      <c r="I4" s="9" t="s">
        <v>439</v>
      </c>
      <c r="J4" s="9" t="s">
        <v>440</v>
      </c>
      <c r="K4" s="9">
        <v>3000</v>
      </c>
      <c r="L4" s="9" t="s">
        <v>441</v>
      </c>
      <c r="M4" s="20" t="s">
        <v>442</v>
      </c>
      <c r="N4" s="16">
        <v>44865</v>
      </c>
      <c r="O4" s="16">
        <v>45225</v>
      </c>
      <c r="P4" s="9">
        <f>P16-N4</f>
        <v>360</v>
      </c>
      <c r="Q4" s="22">
        <f>SUM(Q5:Q25)</f>
        <v>105</v>
      </c>
      <c r="R4" s="22">
        <v>60</v>
      </c>
      <c r="S4" s="9"/>
      <c r="T4" s="22">
        <f>SUM(T5:T25)</f>
        <v>105</v>
      </c>
      <c r="U4" s="23">
        <v>3.5000000000000003E-2</v>
      </c>
      <c r="V4" s="16"/>
      <c r="W4" s="9" t="s">
        <v>443</v>
      </c>
      <c r="X4" s="24">
        <v>0.02</v>
      </c>
      <c r="Y4" s="9">
        <f>ROUNDDOWN(IF((O4-N4+1)*K4*X4/365&gt;R4,R4,(O4-N4+1)*K4*X4/365),2)</f>
        <v>59.34</v>
      </c>
      <c r="Z4" s="22">
        <f>R4-Y4</f>
        <v>0.66</v>
      </c>
      <c r="AA4" s="22" t="s">
        <v>108</v>
      </c>
      <c r="AB4" s="9" t="s">
        <v>61</v>
      </c>
      <c r="AD4" s="28">
        <f>(O4-N4+1)*K4*X4/365</f>
        <v>59.342500000000001</v>
      </c>
    </row>
    <row r="5" spans="1:30" s="2" customFormat="1">
      <c r="A5" s="10"/>
      <c r="B5" s="10"/>
      <c r="C5" s="10"/>
      <c r="D5" s="10"/>
      <c r="E5" s="10"/>
      <c r="F5" s="10"/>
      <c r="G5" s="10"/>
      <c r="H5" s="10"/>
      <c r="I5" s="10"/>
      <c r="J5" s="10"/>
      <c r="K5" s="10"/>
      <c r="L5" s="10"/>
      <c r="M5" s="17"/>
      <c r="N5" s="18"/>
      <c r="O5" s="18"/>
      <c r="P5" s="19">
        <v>44886</v>
      </c>
      <c r="Q5" s="25">
        <v>6.13</v>
      </c>
      <c r="R5" s="10"/>
      <c r="S5" s="19">
        <f>P5</f>
        <v>44886</v>
      </c>
      <c r="T5" s="25">
        <f>(S5-N4)/360*$U$4*$K$4</f>
        <v>6.13</v>
      </c>
      <c r="U5" s="25">
        <f>T5-Q5</f>
        <v>0</v>
      </c>
      <c r="V5" s="18">
        <v>45225</v>
      </c>
      <c r="W5" s="10">
        <v>3000</v>
      </c>
      <c r="X5" s="10"/>
      <c r="Y5" s="10">
        <f>ROUNDDOWN((V5-N4)*K4*X4/365,2)</f>
        <v>59.17</v>
      </c>
      <c r="Z5" s="10"/>
      <c r="AA5" s="10"/>
      <c r="AB5" s="10"/>
    </row>
    <row r="6" spans="1:30" s="2" customFormat="1">
      <c r="A6" s="10"/>
      <c r="B6" s="10"/>
      <c r="C6" s="10"/>
      <c r="D6" s="10"/>
      <c r="E6" s="10"/>
      <c r="F6" s="10"/>
      <c r="G6" s="10"/>
      <c r="H6" s="10"/>
      <c r="I6" s="10"/>
      <c r="J6" s="10"/>
      <c r="K6" s="10"/>
      <c r="L6" s="10"/>
      <c r="M6" s="17"/>
      <c r="N6" s="18"/>
      <c r="O6" s="18"/>
      <c r="P6" s="19">
        <v>44916</v>
      </c>
      <c r="Q6" s="25">
        <v>8.75</v>
      </c>
      <c r="R6" s="10"/>
      <c r="S6" s="19">
        <f t="shared" ref="S6:S16" si="0">P6</f>
        <v>44916</v>
      </c>
      <c r="T6" s="25">
        <f>(S6-S5)*$K$4*$U$4/360</f>
        <v>8.75</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44947</v>
      </c>
      <c r="Q7" s="25">
        <v>9.0399999999999991</v>
      </c>
      <c r="R7" s="10"/>
      <c r="S7" s="19">
        <f t="shared" si="0"/>
        <v>44947</v>
      </c>
      <c r="T7" s="25">
        <f t="shared" ref="T7:T16" si="1">(S7-S6)*$K$4*$U$4/360</f>
        <v>9.0399999999999991</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44978</v>
      </c>
      <c r="Q8" s="25">
        <v>9.0399999999999991</v>
      </c>
      <c r="R8" s="10"/>
      <c r="S8" s="19">
        <f t="shared" si="0"/>
        <v>44978</v>
      </c>
      <c r="T8" s="25">
        <f t="shared" si="1"/>
        <v>9.0399999999999991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45006</v>
      </c>
      <c r="Q9" s="25">
        <v>8.17</v>
      </c>
      <c r="R9" s="10"/>
      <c r="S9" s="19">
        <f t="shared" si="0"/>
        <v>45006</v>
      </c>
      <c r="T9" s="25">
        <f t="shared" si="1"/>
        <v>8.17</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45037</v>
      </c>
      <c r="Q10" s="25">
        <v>9.0399999999999991</v>
      </c>
      <c r="R10" s="10"/>
      <c r="S10" s="19">
        <f t="shared" si="0"/>
        <v>45037</v>
      </c>
      <c r="T10" s="25">
        <f t="shared" si="1"/>
        <v>9.0399999999999991</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45067</v>
      </c>
      <c r="Q11" s="25">
        <v>8.75</v>
      </c>
      <c r="R11" s="10"/>
      <c r="S11" s="19">
        <f t="shared" si="0"/>
        <v>45067</v>
      </c>
      <c r="T11" s="25">
        <f t="shared" si="1"/>
        <v>8.75</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45098</v>
      </c>
      <c r="Q12" s="25">
        <v>9.0399999999999991</v>
      </c>
      <c r="R12" s="10"/>
      <c r="S12" s="19">
        <f t="shared" si="0"/>
        <v>45098</v>
      </c>
      <c r="T12" s="25">
        <f t="shared" si="1"/>
        <v>9.0399999999999991</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45128</v>
      </c>
      <c r="Q13" s="25">
        <v>8.75</v>
      </c>
      <c r="R13" s="10"/>
      <c r="S13" s="19">
        <f t="shared" si="0"/>
        <v>45128</v>
      </c>
      <c r="T13" s="25">
        <f t="shared" si="1"/>
        <v>8.75</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45159</v>
      </c>
      <c r="Q14" s="25">
        <v>9.0399999999999991</v>
      </c>
      <c r="R14" s="10"/>
      <c r="S14" s="19">
        <f t="shared" si="0"/>
        <v>45159</v>
      </c>
      <c r="T14" s="25">
        <f t="shared" si="1"/>
        <v>9.0399999999999991</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45190</v>
      </c>
      <c r="Q15" s="25">
        <v>9.0399999999999991</v>
      </c>
      <c r="R15" s="10"/>
      <c r="S15" s="19">
        <f t="shared" si="0"/>
        <v>45190</v>
      </c>
      <c r="T15" s="25">
        <f t="shared" si="1"/>
        <v>9.0399999999999991</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45225</v>
      </c>
      <c r="Q16" s="25">
        <v>10.210000000000001</v>
      </c>
      <c r="R16" s="10"/>
      <c r="S16" s="19">
        <f t="shared" si="0"/>
        <v>45225</v>
      </c>
      <c r="T16" s="25">
        <f t="shared" si="1"/>
        <v>10.210000000000001</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海创药业股份有限公司</v>
      </c>
      <c r="C26" s="9" t="str">
        <f t="shared" ref="C26:G26" si="3">C4</f>
        <v>成都市市场监督管理局</v>
      </c>
      <c r="D26" s="9" t="str">
        <f t="shared" si="3"/>
        <v>915101000624182000</v>
      </c>
      <c r="E26" s="9" t="str">
        <f t="shared" si="3"/>
        <v>中外合资</v>
      </c>
      <c r="F26" s="9" t="str">
        <f t="shared" si="3"/>
        <v>成都高新技术产业开发区税务局</v>
      </c>
      <c r="G26" s="9" t="str">
        <f t="shared" si="3"/>
        <v>招商银行股份有限公司锦官城支行128905498610603</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海创药业股份有限公司</v>
      </c>
      <c r="C48" s="9" t="str">
        <f t="shared" ref="C48:G48" si="7">C26</f>
        <v>成都市市场监督管理局</v>
      </c>
      <c r="D48" s="9" t="str">
        <f t="shared" si="7"/>
        <v>915101000624182000</v>
      </c>
      <c r="E48" s="9" t="str">
        <f t="shared" si="7"/>
        <v>中外合资</v>
      </c>
      <c r="F48" s="9" t="str">
        <f t="shared" si="7"/>
        <v>成都高新技术产业开发区税务局</v>
      </c>
      <c r="G48" s="9" t="str">
        <f t="shared" si="7"/>
        <v>招商银行股份有限公司锦官城支行128905498610603</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海创药业股份有限公司</v>
      </c>
      <c r="C70" s="9" t="str">
        <f t="shared" ref="C70:G70" si="10">C48</f>
        <v>成都市市场监督管理局</v>
      </c>
      <c r="D70" s="9" t="str">
        <f t="shared" si="10"/>
        <v>915101000624182000</v>
      </c>
      <c r="E70" s="9" t="str">
        <f t="shared" si="10"/>
        <v>中外合资</v>
      </c>
      <c r="F70" s="9" t="str">
        <f t="shared" si="10"/>
        <v>成都高新技术产业开发区税务局</v>
      </c>
      <c r="G70" s="9" t="str">
        <f t="shared" si="10"/>
        <v>招商银行股份有限公司锦官城支行128905498610603</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海创药业股份有限公司</v>
      </c>
      <c r="C92" s="9" t="str">
        <f t="shared" ref="C92:G92" si="11">C70</f>
        <v>成都市市场监督管理局</v>
      </c>
      <c r="D92" s="9" t="str">
        <f t="shared" si="11"/>
        <v>915101000624182000</v>
      </c>
      <c r="E92" s="9" t="str">
        <f t="shared" si="11"/>
        <v>中外合资</v>
      </c>
      <c r="F92" s="9" t="str">
        <f t="shared" si="11"/>
        <v>成都高新技术产业开发区税务局</v>
      </c>
      <c r="G92" s="9" t="str">
        <f t="shared" si="11"/>
        <v>招商银行股份有限公司锦官城支行128905498610603</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3000</v>
      </c>
      <c r="L114" s="9"/>
      <c r="M114" s="20"/>
      <c r="N114" s="16"/>
      <c r="O114" s="16"/>
      <c r="P114" s="9"/>
      <c r="Q114" s="9"/>
      <c r="R114" s="9">
        <f>R92+R70+R48+R26++R4</f>
        <v>60</v>
      </c>
      <c r="S114" s="9"/>
      <c r="T114" s="9"/>
      <c r="U114" s="9"/>
      <c r="V114" s="9"/>
      <c r="W114" s="9"/>
      <c r="X114" s="9"/>
      <c r="Y114" s="9">
        <f>Y92+Y70+Y48+Y26++Y4</f>
        <v>59.34</v>
      </c>
      <c r="Z114" s="9"/>
      <c r="AA114" s="9"/>
      <c r="AB114" s="9"/>
    </row>
    <row r="115" spans="1:28">
      <c r="I115" t="s">
        <v>49</v>
      </c>
      <c r="K115">
        <f>IF(K114&gt;3000,K116,K114)</f>
        <v>3000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116"/>
  <sheetViews>
    <sheetView topLeftCell="F1" zoomScale="70" zoomScaleNormal="70" workbookViewId="0">
      <pane ySplit="3" topLeftCell="A11" activePane="bottomLeft" state="frozen"/>
      <selection pane="bottomLeft" activeCell="J5" sqref="J5"/>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成都森未科技有限公司审计明细表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444</v>
      </c>
      <c r="C4" s="9" t="s">
        <v>289</v>
      </c>
      <c r="D4" s="9" t="s">
        <v>445</v>
      </c>
      <c r="E4" s="9" t="s">
        <v>446</v>
      </c>
      <c r="F4" s="9" t="s">
        <v>289</v>
      </c>
      <c r="G4" s="9" t="s">
        <v>447</v>
      </c>
      <c r="H4" s="9" t="s">
        <v>71</v>
      </c>
      <c r="I4" s="9" t="s">
        <v>342</v>
      </c>
      <c r="J4" s="9" t="s">
        <v>58</v>
      </c>
      <c r="K4" s="9">
        <v>1000</v>
      </c>
      <c r="L4" s="9" t="s">
        <v>448</v>
      </c>
      <c r="M4" s="20" t="s">
        <v>449</v>
      </c>
      <c r="N4" s="16">
        <v>45006</v>
      </c>
      <c r="O4" s="16">
        <v>45291</v>
      </c>
      <c r="P4" s="9">
        <f>P14-N4</f>
        <v>305</v>
      </c>
      <c r="Q4" s="22">
        <f>SUM(Q5:Q25)</f>
        <v>29.64</v>
      </c>
      <c r="R4" s="22">
        <v>12.82</v>
      </c>
      <c r="S4" s="9"/>
      <c r="T4" s="22">
        <f>SUM(T5:T25)</f>
        <v>29.65</v>
      </c>
      <c r="U4" s="23">
        <v>3.5000000000000003E-2</v>
      </c>
      <c r="V4" s="16"/>
      <c r="W4" s="9" t="s">
        <v>42</v>
      </c>
      <c r="X4" s="24">
        <v>1.4999999999999999E-2</v>
      </c>
      <c r="Y4" s="9">
        <f>ROUNDDOWN(IF((O4-N4+1)*K4*X4/365&gt;R4,R4,(O4-N4+1)*K4*X4/365),2)</f>
        <v>11.75</v>
      </c>
      <c r="Z4" s="22">
        <f>R4-Y4</f>
        <v>1.07</v>
      </c>
      <c r="AA4" s="22" t="s">
        <v>177</v>
      </c>
      <c r="AB4" s="9" t="s">
        <v>61</v>
      </c>
      <c r="AD4" s="28">
        <f>(O4-N4+1)*K4*X4/365</f>
        <v>11.753399999999999</v>
      </c>
    </row>
    <row r="5" spans="1:30" s="2" customFormat="1">
      <c r="A5" s="10"/>
      <c r="B5" s="10"/>
      <c r="C5" s="10"/>
      <c r="D5" s="10"/>
      <c r="E5" s="10"/>
      <c r="F5" s="10"/>
      <c r="G5" s="10"/>
      <c r="H5" s="10"/>
      <c r="I5" s="10"/>
      <c r="J5" s="10"/>
      <c r="K5" s="10"/>
      <c r="L5" s="10"/>
      <c r="M5" s="17"/>
      <c r="N5" s="18"/>
      <c r="O5" s="16">
        <v>45371</v>
      </c>
      <c r="P5" s="19">
        <v>45036</v>
      </c>
      <c r="Q5" s="25">
        <v>2.92</v>
      </c>
      <c r="R5" s="10"/>
      <c r="S5" s="19">
        <f>P5</f>
        <v>45036</v>
      </c>
      <c r="T5" s="25">
        <f>(S5-N4)/360*$U$4*$K$4</f>
        <v>2.92</v>
      </c>
      <c r="U5" s="25">
        <f>T5-Q5</f>
        <v>0</v>
      </c>
      <c r="V5" s="18"/>
      <c r="W5" s="10"/>
      <c r="X5" s="10"/>
      <c r="Y5" s="10">
        <f>ROUNDDOWN((V5-N4)*K4*X4/365,2)</f>
        <v>-1849.56</v>
      </c>
      <c r="Z5" s="10"/>
      <c r="AA5" s="10"/>
      <c r="AB5" s="10"/>
    </row>
    <row r="6" spans="1:30" s="2" customFormat="1">
      <c r="A6" s="10"/>
      <c r="B6" s="10"/>
      <c r="C6" s="10"/>
      <c r="D6" s="10"/>
      <c r="E6" s="10"/>
      <c r="F6" s="10"/>
      <c r="G6" s="10"/>
      <c r="H6" s="10"/>
      <c r="I6" s="10"/>
      <c r="J6" s="10"/>
      <c r="K6" s="10"/>
      <c r="L6" s="10"/>
      <c r="M6" s="17"/>
      <c r="N6" s="18"/>
      <c r="O6" s="18"/>
      <c r="P6" s="19">
        <v>45066</v>
      </c>
      <c r="Q6" s="25">
        <v>2.92</v>
      </c>
      <c r="R6" s="10"/>
      <c r="S6" s="19">
        <f t="shared" ref="S6:S14" si="0">P6</f>
        <v>45066</v>
      </c>
      <c r="T6" s="25">
        <f>(S6-S5)*$K$4*$U$4/360</f>
        <v>2.92</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45097</v>
      </c>
      <c r="Q7" s="25">
        <v>3.01</v>
      </c>
      <c r="R7" s="10"/>
      <c r="S7" s="19">
        <f t="shared" si="0"/>
        <v>45097</v>
      </c>
      <c r="T7" s="25">
        <f t="shared" ref="T7:T14" si="1">(S7-S6)*$K$4*$U$4/360</f>
        <v>3.01</v>
      </c>
      <c r="U7" s="25">
        <f t="shared" ref="U7:U14"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45127</v>
      </c>
      <c r="Q8" s="25">
        <v>2.92</v>
      </c>
      <c r="R8" s="10"/>
      <c r="S8" s="19">
        <f t="shared" si="0"/>
        <v>45127</v>
      </c>
      <c r="T8" s="25">
        <f t="shared" si="1"/>
        <v>2.92</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45158</v>
      </c>
      <c r="Q9" s="25">
        <v>3.01</v>
      </c>
      <c r="R9" s="10"/>
      <c r="S9" s="19">
        <f t="shared" si="0"/>
        <v>45158</v>
      </c>
      <c r="T9" s="25">
        <f t="shared" si="1"/>
        <v>3.01</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45189</v>
      </c>
      <c r="Q10" s="25">
        <v>3.01</v>
      </c>
      <c r="R10" s="10"/>
      <c r="S10" s="19">
        <f t="shared" si="0"/>
        <v>45189</v>
      </c>
      <c r="T10" s="25">
        <f t="shared" si="1"/>
        <v>3.01</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45219</v>
      </c>
      <c r="Q11" s="25">
        <v>2.92</v>
      </c>
      <c r="R11" s="10"/>
      <c r="S11" s="19">
        <f t="shared" si="0"/>
        <v>45219</v>
      </c>
      <c r="T11" s="25">
        <f t="shared" si="1"/>
        <v>2.92</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45250</v>
      </c>
      <c r="Q12" s="25">
        <v>3.01</v>
      </c>
      <c r="R12" s="10"/>
      <c r="S12" s="19">
        <f t="shared" si="0"/>
        <v>45250</v>
      </c>
      <c r="T12" s="25">
        <f t="shared" si="1"/>
        <v>3.01</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45280</v>
      </c>
      <c r="Q13" s="25">
        <v>2.91</v>
      </c>
      <c r="R13" s="10"/>
      <c r="S13" s="19">
        <f t="shared" si="0"/>
        <v>45280</v>
      </c>
      <c r="T13" s="25">
        <f t="shared" si="1"/>
        <v>2.92</v>
      </c>
      <c r="U13" s="25">
        <f t="shared" si="2"/>
        <v>0.01</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45311</v>
      </c>
      <c r="Q14" s="114">
        <v>3.01</v>
      </c>
      <c r="R14" s="10"/>
      <c r="S14" s="19">
        <f t="shared" si="0"/>
        <v>45311</v>
      </c>
      <c r="T14" s="25">
        <f t="shared" si="1"/>
        <v>3.01</v>
      </c>
      <c r="U14" s="25">
        <f t="shared" si="2"/>
        <v>0</v>
      </c>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99" customHeight="1">
      <c r="A26" s="9">
        <v>2</v>
      </c>
      <c r="B26" s="9" t="str">
        <f>B4</f>
        <v>成都森未科技有限公司</v>
      </c>
      <c r="C26" s="9" t="str">
        <f t="shared" ref="C26:G26" si="3">C4</f>
        <v>成都高新区</v>
      </c>
      <c r="D26" s="9" t="str">
        <f t="shared" si="3"/>
        <v>91510100MA6DE3KG2W</v>
      </c>
      <c r="E26" s="9" t="str">
        <f t="shared" si="3"/>
        <v>国有企业</v>
      </c>
      <c r="F26" s="9" t="str">
        <f t="shared" si="3"/>
        <v>成都高新区</v>
      </c>
      <c r="G26" s="9" t="str">
        <f t="shared" si="3"/>
        <v>431250100100111861（兴业银行成都提督街支行）</v>
      </c>
      <c r="H26" s="9" t="s">
        <v>71</v>
      </c>
      <c r="I26" s="9" t="s">
        <v>450</v>
      </c>
      <c r="J26" s="9" t="s">
        <v>58</v>
      </c>
      <c r="K26" s="9">
        <v>1000</v>
      </c>
      <c r="L26" s="9" t="s">
        <v>451</v>
      </c>
      <c r="M26" s="20" t="s">
        <v>452</v>
      </c>
      <c r="N26" s="16">
        <v>44924</v>
      </c>
      <c r="O26" s="16">
        <v>45273</v>
      </c>
      <c r="P26" s="142">
        <f>P38-N26</f>
        <v>349</v>
      </c>
      <c r="Q26" s="22">
        <f>SUM(Q27:Q47)</f>
        <v>33.92</v>
      </c>
      <c r="R26" s="9">
        <v>15</v>
      </c>
      <c r="S26" s="9"/>
      <c r="T26" s="9">
        <f>SUM(T27:T47)</f>
        <v>33.92</v>
      </c>
      <c r="U26" s="23">
        <v>3.5000000000000003E-2</v>
      </c>
      <c r="V26" s="16"/>
      <c r="W26" s="9" t="s">
        <v>453</v>
      </c>
      <c r="X26" s="24">
        <v>1.4999999999999999E-2</v>
      </c>
      <c r="Y26" s="9">
        <f>ROUNDDOWN(IF((O26-N26+1)*K26*X26/365&gt;R26,R26,(O26-N26+1)*K26*X26/365),2)</f>
        <v>14.38</v>
      </c>
      <c r="Z26" s="9">
        <f>R26-Y26</f>
        <v>0.619999999999999</v>
      </c>
      <c r="AA26" s="9" t="s">
        <v>108</v>
      </c>
      <c r="AB26" s="9" t="s">
        <v>61</v>
      </c>
      <c r="AD26" s="1">
        <f>(O26-N26+1)*K26*X26/365</f>
        <v>14.3835616438356</v>
      </c>
    </row>
    <row r="27" spans="1:30" s="2" customFormat="1">
      <c r="A27" s="10"/>
      <c r="B27" s="10"/>
      <c r="C27" s="10"/>
      <c r="D27" s="10"/>
      <c r="E27" s="10"/>
      <c r="F27" s="10"/>
      <c r="G27" s="10"/>
      <c r="H27" s="10"/>
      <c r="I27" s="10"/>
      <c r="J27" s="10"/>
      <c r="K27" s="10"/>
      <c r="L27" s="10"/>
      <c r="M27" s="17"/>
      <c r="N27" s="18"/>
      <c r="O27" s="16"/>
      <c r="P27" s="19">
        <v>44947</v>
      </c>
      <c r="Q27" s="25">
        <v>2.2400000000000002</v>
      </c>
      <c r="R27" s="10"/>
      <c r="S27" s="19">
        <f>P27</f>
        <v>44947</v>
      </c>
      <c r="T27" s="25">
        <f>(S27-N26)/360*$U$26*$K$26</f>
        <v>2.2400000000000002</v>
      </c>
      <c r="U27" s="25">
        <f>T27-Q27</f>
        <v>0</v>
      </c>
      <c r="V27" s="18"/>
      <c r="W27" s="10"/>
      <c r="X27" s="10"/>
      <c r="Y27" s="29">
        <f>ROUNDUP((V27-N26)*K26*X26/365,2)</f>
        <v>-1846.2</v>
      </c>
      <c r="Z27" s="10"/>
      <c r="AA27" s="10"/>
      <c r="AB27" s="10"/>
    </row>
    <row r="28" spans="1:30" s="2" customFormat="1">
      <c r="A28" s="10"/>
      <c r="B28" s="10"/>
      <c r="C28" s="10"/>
      <c r="D28" s="10"/>
      <c r="E28" s="10"/>
      <c r="F28" s="10"/>
      <c r="G28" s="10"/>
      <c r="H28" s="10"/>
      <c r="I28" s="10"/>
      <c r="J28" s="10"/>
      <c r="K28" s="10"/>
      <c r="L28" s="10"/>
      <c r="M28" s="17"/>
      <c r="N28" s="18"/>
      <c r="O28" s="18"/>
      <c r="P28" s="19">
        <v>44978</v>
      </c>
      <c r="Q28" s="25">
        <v>3.01</v>
      </c>
      <c r="R28" s="10"/>
      <c r="S28" s="19">
        <f t="shared" ref="S28:S36" si="4">P28</f>
        <v>44978</v>
      </c>
      <c r="T28" s="25">
        <f>(S28-S27)*$U$26*$K$26/360</f>
        <v>3.01</v>
      </c>
      <c r="U28" s="25">
        <f t="shared" ref="U28:U36" si="5">T28-Q28</f>
        <v>0</v>
      </c>
      <c r="V28" s="10"/>
      <c r="W28" s="10"/>
      <c r="X28" s="10"/>
      <c r="Y28" s="29">
        <f>ROUNDUP((O26-V27+1)*(K26-W27)*X26/365,2)</f>
        <v>1860.58</v>
      </c>
      <c r="Z28" s="10"/>
      <c r="AA28" s="10"/>
      <c r="AB28" s="10"/>
    </row>
    <row r="29" spans="1:30" s="2" customFormat="1">
      <c r="A29" s="10"/>
      <c r="B29" s="10"/>
      <c r="C29" s="10"/>
      <c r="D29" s="10"/>
      <c r="E29" s="10"/>
      <c r="F29" s="10"/>
      <c r="G29" s="10"/>
      <c r="H29" s="10"/>
      <c r="I29" s="10"/>
      <c r="J29" s="10"/>
      <c r="K29" s="10"/>
      <c r="L29" s="10"/>
      <c r="M29" s="17"/>
      <c r="N29" s="18"/>
      <c r="O29" s="18"/>
      <c r="P29" s="19">
        <v>45006</v>
      </c>
      <c r="Q29" s="25">
        <v>2.72</v>
      </c>
      <c r="R29" s="10"/>
      <c r="S29" s="19">
        <f t="shared" si="4"/>
        <v>45006</v>
      </c>
      <c r="T29" s="25">
        <f t="shared" ref="T29:T36" si="6">(S29-S28)*$U$26*$K$26/360</f>
        <v>2.72</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45037</v>
      </c>
      <c r="Q30" s="25">
        <v>3.01</v>
      </c>
      <c r="R30" s="10"/>
      <c r="S30" s="19">
        <f t="shared" si="4"/>
        <v>45037</v>
      </c>
      <c r="T30" s="25">
        <f t="shared" si="6"/>
        <v>3.01</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45067</v>
      </c>
      <c r="Q31" s="25">
        <v>2.92</v>
      </c>
      <c r="R31" s="10"/>
      <c r="S31" s="19">
        <f t="shared" si="4"/>
        <v>45067</v>
      </c>
      <c r="T31" s="25">
        <f t="shared" si="6"/>
        <v>2.92</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45098</v>
      </c>
      <c r="Q32" s="25">
        <v>3.01</v>
      </c>
      <c r="R32" s="10"/>
      <c r="S32" s="19">
        <f t="shared" si="4"/>
        <v>45098</v>
      </c>
      <c r="T32" s="25">
        <f t="shared" si="6"/>
        <v>3.01</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45128</v>
      </c>
      <c r="Q33" s="25">
        <v>2.92</v>
      </c>
      <c r="R33" s="10"/>
      <c r="S33" s="19">
        <f t="shared" si="4"/>
        <v>45128</v>
      </c>
      <c r="T33" s="25">
        <f t="shared" si="6"/>
        <v>2.92</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45159</v>
      </c>
      <c r="Q34" s="25">
        <v>3.01</v>
      </c>
      <c r="R34" s="10"/>
      <c r="S34" s="19">
        <f t="shared" si="4"/>
        <v>45159</v>
      </c>
      <c r="T34" s="25">
        <f t="shared" si="6"/>
        <v>3.01</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45190</v>
      </c>
      <c r="Q35" s="25">
        <v>3.01</v>
      </c>
      <c r="R35" s="10"/>
      <c r="S35" s="19">
        <f t="shared" si="4"/>
        <v>45190</v>
      </c>
      <c r="T35" s="25">
        <f t="shared" si="6"/>
        <v>3.01</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45220</v>
      </c>
      <c r="Q36" s="25">
        <v>2.92</v>
      </c>
      <c r="R36" s="10"/>
      <c r="S36" s="19">
        <f t="shared" si="4"/>
        <v>45220</v>
      </c>
      <c r="T36" s="25">
        <f t="shared" si="6"/>
        <v>2.92</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45251</v>
      </c>
      <c r="Q37" s="25">
        <v>3.01</v>
      </c>
      <c r="R37" s="10"/>
      <c r="S37" s="19">
        <f t="shared" ref="S37:S38" si="7">P37</f>
        <v>45251</v>
      </c>
      <c r="T37" s="25">
        <f t="shared" ref="T37:T38" si="8">(S37-S36)*$U$26*$K$26/360</f>
        <v>3.01</v>
      </c>
      <c r="U37" s="25">
        <f t="shared" ref="U37:U38" si="9">T37-Q37</f>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45273</v>
      </c>
      <c r="Q38" s="25">
        <v>2.14</v>
      </c>
      <c r="R38" s="10"/>
      <c r="S38" s="19">
        <f t="shared" si="7"/>
        <v>45273</v>
      </c>
      <c r="T38" s="25">
        <f t="shared" si="8"/>
        <v>2.14</v>
      </c>
      <c r="U38" s="25">
        <f t="shared" si="9"/>
        <v>0</v>
      </c>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成都森未科技有限公司</v>
      </c>
      <c r="C48" s="9" t="str">
        <f t="shared" ref="C48:G48" si="10">C26</f>
        <v>成都高新区</v>
      </c>
      <c r="D48" s="9" t="str">
        <f t="shared" si="10"/>
        <v>91510100MA6DE3KG2W</v>
      </c>
      <c r="E48" s="9" t="str">
        <f t="shared" si="10"/>
        <v>国有企业</v>
      </c>
      <c r="F48" s="9" t="str">
        <f t="shared" si="10"/>
        <v>成都高新区</v>
      </c>
      <c r="G48" s="9" t="str">
        <f t="shared" si="10"/>
        <v>431250100100111861（兴业银行成都提督街支行）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1">P50</f>
        <v>0</v>
      </c>
      <c r="T50" s="25">
        <f>(S50-S49)*$U$48*$K$48/360</f>
        <v>0</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成都森未科技有限公司</v>
      </c>
      <c r="C70" s="9" t="str">
        <f t="shared" ref="C70:G70" si="13">C48</f>
        <v>成都高新区</v>
      </c>
      <c r="D70" s="9" t="str">
        <f t="shared" si="13"/>
        <v>91510100MA6DE3KG2W</v>
      </c>
      <c r="E70" s="9" t="str">
        <f t="shared" si="13"/>
        <v>国有企业</v>
      </c>
      <c r="F70" s="9" t="str">
        <f t="shared" si="13"/>
        <v>成都高新区</v>
      </c>
      <c r="G70" s="9" t="str">
        <f t="shared" si="13"/>
        <v>431250100100111861（兴业银行成都提督街支行）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成都森未科技有限公司</v>
      </c>
      <c r="C92" s="9" t="str">
        <f t="shared" ref="C92:G92" si="14">C70</f>
        <v>成都高新区</v>
      </c>
      <c r="D92" s="9" t="str">
        <f t="shared" si="14"/>
        <v>91510100MA6DE3KG2W</v>
      </c>
      <c r="E92" s="9" t="str">
        <f t="shared" si="14"/>
        <v>国有企业</v>
      </c>
      <c r="F92" s="9" t="str">
        <f t="shared" si="14"/>
        <v>成都高新区</v>
      </c>
      <c r="G92" s="9" t="str">
        <f t="shared" si="14"/>
        <v>431250100100111861（兴业银行成都提督街支行）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27.82</v>
      </c>
      <c r="S114" s="9"/>
      <c r="T114" s="9"/>
      <c r="U114" s="9"/>
      <c r="V114" s="9"/>
      <c r="W114" s="9"/>
      <c r="X114" s="9"/>
      <c r="Y114" s="9">
        <f>Y92+Y70+Y48+Y26++Y4</f>
        <v>26.13</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116"/>
  <sheetViews>
    <sheetView topLeftCell="G1" zoomScale="70" zoomScaleNormal="70" workbookViewId="0">
      <pane ySplit="3" topLeftCell="A29" activePane="bottomLeft" state="frozen"/>
      <selection pane="bottomLeft" activeCell="AA30" sqref="AA3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成都天奥测控技术有限公司审计明细表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454</v>
      </c>
      <c r="C4" s="9" t="s">
        <v>32</v>
      </c>
      <c r="D4" s="9" t="s">
        <v>455</v>
      </c>
      <c r="E4" s="9" t="s">
        <v>121</v>
      </c>
      <c r="F4" s="9" t="s">
        <v>456</v>
      </c>
      <c r="G4" s="9" t="s">
        <v>457</v>
      </c>
      <c r="H4" s="9" t="s">
        <v>130</v>
      </c>
      <c r="I4" s="9" t="s">
        <v>157</v>
      </c>
      <c r="J4" s="9" t="s">
        <v>39</v>
      </c>
      <c r="K4" s="9">
        <v>1000</v>
      </c>
      <c r="L4" s="9" t="s">
        <v>458</v>
      </c>
      <c r="M4" s="20" t="s">
        <v>459</v>
      </c>
      <c r="N4" s="16">
        <v>44897</v>
      </c>
      <c r="O4" s="16">
        <v>45254</v>
      </c>
      <c r="P4" s="9">
        <f>P17-N4</f>
        <v>357</v>
      </c>
      <c r="Q4" s="22">
        <f>SUM(Q5:Q25)</f>
        <v>28.25</v>
      </c>
      <c r="R4" s="22">
        <v>15</v>
      </c>
      <c r="S4" s="9"/>
      <c r="T4" s="22">
        <f>SUM(T5:T25)</f>
        <v>28.25</v>
      </c>
      <c r="U4" s="23">
        <v>2.8500000000000001E-2</v>
      </c>
      <c r="V4" s="16"/>
      <c r="W4" s="9" t="s">
        <v>42</v>
      </c>
      <c r="X4" s="24">
        <v>1.4999999999999999E-2</v>
      </c>
      <c r="Y4" s="9">
        <f>ROUNDDOWN(IF((O4-N4+1)*K4*X4/365&gt;R4,R4,(O4-N4+1)*K4*X4/365),2)</f>
        <v>14.71</v>
      </c>
      <c r="Z4" s="22">
        <f>R4-Y4</f>
        <v>0.28999999999999998</v>
      </c>
      <c r="AA4" s="22" t="s">
        <v>43</v>
      </c>
      <c r="AB4" s="9" t="s">
        <v>61</v>
      </c>
      <c r="AD4" s="28">
        <f>(O4-N4+1)*K4*X4/365</f>
        <v>14.712300000000001</v>
      </c>
    </row>
    <row r="5" spans="1:30" s="2" customFormat="1">
      <c r="A5" s="10"/>
      <c r="B5" s="10"/>
      <c r="C5" s="10"/>
      <c r="D5" s="10"/>
      <c r="E5" s="10"/>
      <c r="F5" s="10"/>
      <c r="G5" s="10"/>
      <c r="H5" s="10"/>
      <c r="I5" s="10"/>
      <c r="J5" s="10"/>
      <c r="K5" s="10"/>
      <c r="L5" s="10"/>
      <c r="M5" s="17"/>
      <c r="N5" s="18"/>
      <c r="O5" s="18"/>
      <c r="P5" s="19">
        <v>44916</v>
      </c>
      <c r="Q5" s="25">
        <v>1.5</v>
      </c>
      <c r="R5" s="10"/>
      <c r="S5" s="19">
        <f>P5</f>
        <v>44916</v>
      </c>
      <c r="T5" s="25">
        <f>(S5-N4)/360*$U$4*$K$4</f>
        <v>1.5</v>
      </c>
      <c r="U5" s="25">
        <f>T5-Q5</f>
        <v>0</v>
      </c>
      <c r="V5" s="18"/>
      <c r="W5" s="10"/>
      <c r="X5" s="10"/>
      <c r="Y5" s="10">
        <f>ROUNDDOWN((V5-N4)*K4*X4/365,2)</f>
        <v>-1845.08</v>
      </c>
      <c r="Z5" s="10"/>
      <c r="AA5" s="10"/>
      <c r="AB5" s="10"/>
    </row>
    <row r="6" spans="1:30" s="2" customFormat="1">
      <c r="A6" s="10"/>
      <c r="B6" s="10"/>
      <c r="C6" s="10"/>
      <c r="D6" s="10"/>
      <c r="E6" s="10"/>
      <c r="F6" s="10"/>
      <c r="G6" s="10"/>
      <c r="H6" s="10"/>
      <c r="I6" s="10"/>
      <c r="J6" s="10"/>
      <c r="K6" s="10"/>
      <c r="L6" s="10"/>
      <c r="M6" s="17"/>
      <c r="N6" s="18"/>
      <c r="O6" s="18"/>
      <c r="P6" s="19">
        <v>44947</v>
      </c>
      <c r="Q6" s="25">
        <v>2.4500000000000002</v>
      </c>
      <c r="R6" s="10"/>
      <c r="S6" s="19">
        <f t="shared" ref="S6:S17" si="0">P6</f>
        <v>44947</v>
      </c>
      <c r="T6" s="25">
        <f>(S6-S5)*$K$4*$U$4/360</f>
        <v>2.4500000000000002</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44978</v>
      </c>
      <c r="Q7" s="25">
        <v>2.4500000000000002</v>
      </c>
      <c r="R7" s="10"/>
      <c r="S7" s="19">
        <f t="shared" si="0"/>
        <v>44978</v>
      </c>
      <c r="T7" s="25">
        <f t="shared" ref="T7:T17" si="1">(S7-S6)*$K$4*$U$4/360</f>
        <v>2.4500000000000002</v>
      </c>
      <c r="U7" s="25">
        <f t="shared" ref="U7:U17"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45006</v>
      </c>
      <c r="Q8" s="25">
        <v>2.2200000000000002</v>
      </c>
      <c r="R8" s="10"/>
      <c r="S8" s="19">
        <f t="shared" si="0"/>
        <v>45006</v>
      </c>
      <c r="T8" s="25">
        <f t="shared" si="1"/>
        <v>2.2200000000000002</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45037</v>
      </c>
      <c r="Q9" s="25">
        <v>2.4500000000000002</v>
      </c>
      <c r="R9" s="10"/>
      <c r="S9" s="19">
        <f t="shared" si="0"/>
        <v>45037</v>
      </c>
      <c r="T9" s="25">
        <f t="shared" si="1"/>
        <v>2.4500000000000002</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45067</v>
      </c>
      <c r="Q10" s="25">
        <v>2.38</v>
      </c>
      <c r="R10" s="10"/>
      <c r="S10" s="19">
        <f t="shared" si="0"/>
        <v>45067</v>
      </c>
      <c r="T10" s="25">
        <f t="shared" si="1"/>
        <v>2.38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45098</v>
      </c>
      <c r="Q11" s="25">
        <v>2.4500000000000002</v>
      </c>
      <c r="R11" s="10"/>
      <c r="S11" s="19">
        <f t="shared" si="0"/>
        <v>45098</v>
      </c>
      <c r="T11" s="25">
        <f t="shared" si="1"/>
        <v>2.4500000000000002</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45128</v>
      </c>
      <c r="Q12" s="25">
        <v>2.38</v>
      </c>
      <c r="R12" s="10"/>
      <c r="S12" s="19">
        <f t="shared" si="0"/>
        <v>45128</v>
      </c>
      <c r="T12" s="25">
        <f t="shared" si="1"/>
        <v>2.38</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45159</v>
      </c>
      <c r="Q13" s="25">
        <v>2.4500000000000002</v>
      </c>
      <c r="R13" s="10"/>
      <c r="S13" s="19">
        <f t="shared" si="0"/>
        <v>45159</v>
      </c>
      <c r="T13" s="25">
        <f t="shared" si="1"/>
        <v>2.4500000000000002</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45190</v>
      </c>
      <c r="Q14" s="25">
        <v>2.4500000000000002</v>
      </c>
      <c r="R14" s="10"/>
      <c r="S14" s="19">
        <f t="shared" si="0"/>
        <v>45190</v>
      </c>
      <c r="T14" s="25">
        <f t="shared" si="1"/>
        <v>2.4500000000000002</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45220</v>
      </c>
      <c r="Q15" s="25">
        <v>2.38</v>
      </c>
      <c r="R15" s="10"/>
      <c r="S15" s="19">
        <f t="shared" si="0"/>
        <v>45220</v>
      </c>
      <c r="T15" s="25">
        <f t="shared" si="1"/>
        <v>2.38</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45251</v>
      </c>
      <c r="Q16" s="25">
        <v>2.4500000000000002</v>
      </c>
      <c r="R16" s="10"/>
      <c r="S16" s="19">
        <f t="shared" si="0"/>
        <v>45251</v>
      </c>
      <c r="T16" s="25">
        <f t="shared" si="1"/>
        <v>2.4500000000000002</v>
      </c>
      <c r="U16" s="25">
        <f t="shared" si="2"/>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45254</v>
      </c>
      <c r="Q17" s="25">
        <v>0.24</v>
      </c>
      <c r="R17" s="10"/>
      <c r="S17" s="19">
        <f t="shared" si="0"/>
        <v>45254</v>
      </c>
      <c r="T17" s="25">
        <f t="shared" si="1"/>
        <v>0.24</v>
      </c>
      <c r="U17" s="25">
        <f t="shared" si="2"/>
        <v>0</v>
      </c>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84">
      <c r="A26" s="9">
        <v>2</v>
      </c>
      <c r="B26" s="9" t="str">
        <f>B4</f>
        <v>成都天奥测控技术有限公司</v>
      </c>
      <c r="C26" s="9" t="str">
        <f t="shared" ref="C26:G26" si="3">C4</f>
        <v>成都高新技术产业开发区市场监督管理局</v>
      </c>
      <c r="D26" s="9" t="str">
        <f t="shared" si="3"/>
        <v>91510100755952122H</v>
      </c>
      <c r="E26" s="9" t="str">
        <f t="shared" si="3"/>
        <v>其他有限责任公司</v>
      </c>
      <c r="F26" s="9" t="str">
        <f t="shared" si="3"/>
        <v>国家税务局成都高新技术产业开发区税务局</v>
      </c>
      <c r="G26" s="9" t="str">
        <f t="shared" si="3"/>
        <v>建行成都茶店子支行51001416146051502609</v>
      </c>
      <c r="H26" s="9" t="s">
        <v>130</v>
      </c>
      <c r="I26" s="9" t="s">
        <v>157</v>
      </c>
      <c r="J26" s="9" t="s">
        <v>39</v>
      </c>
      <c r="K26" s="9">
        <v>500</v>
      </c>
      <c r="L26" s="9" t="s">
        <v>460</v>
      </c>
      <c r="M26" s="20" t="s">
        <v>461</v>
      </c>
      <c r="N26" s="16">
        <v>44974</v>
      </c>
      <c r="O26" s="16">
        <v>45291</v>
      </c>
      <c r="P26" s="9">
        <f>P38-N26</f>
        <v>329</v>
      </c>
      <c r="Q26" s="22">
        <f>SUM(Q27:Q47)</f>
        <v>13.03</v>
      </c>
      <c r="R26" s="127">
        <v>6.51</v>
      </c>
      <c r="S26" s="9"/>
      <c r="T26" s="9">
        <f>SUM(T27:T47)</f>
        <v>13.05</v>
      </c>
      <c r="U26" s="23">
        <v>2.8500000000000001E-2</v>
      </c>
      <c r="V26" s="16"/>
      <c r="W26" s="9" t="s">
        <v>42</v>
      </c>
      <c r="X26" s="24">
        <v>1.4999999999999999E-2</v>
      </c>
      <c r="Y26" s="9">
        <f>ROUNDDOWN(IF((O26-N26+1)*K26*X26/365&gt;R26,R26,(O26-N26+1)*K26*X26/365),2)</f>
        <v>6.51</v>
      </c>
      <c r="Z26" s="9">
        <f>R26-Y26</f>
        <v>0</v>
      </c>
      <c r="AA26" s="9"/>
      <c r="AB26" s="9" t="s">
        <v>61</v>
      </c>
      <c r="AD26" s="1">
        <f>(O26-N26+1)*K26*X26/365</f>
        <v>6.5342465753424701</v>
      </c>
    </row>
    <row r="27" spans="1:30" s="2" customFormat="1">
      <c r="A27" s="10"/>
      <c r="B27" s="10"/>
      <c r="C27" s="10"/>
      <c r="D27" s="10"/>
      <c r="E27" s="10"/>
      <c r="F27" s="10"/>
      <c r="G27" s="10"/>
      <c r="H27" s="10"/>
      <c r="I27" s="10"/>
      <c r="J27" s="10"/>
      <c r="K27" s="10"/>
      <c r="L27" s="10"/>
      <c r="M27" s="17"/>
      <c r="N27" s="18"/>
      <c r="O27" s="16">
        <v>45303</v>
      </c>
      <c r="P27" s="19">
        <v>44978</v>
      </c>
      <c r="Q27" s="25">
        <v>0.16</v>
      </c>
      <c r="R27" s="10"/>
      <c r="S27" s="19">
        <f>P27</f>
        <v>44978</v>
      </c>
      <c r="T27" s="25">
        <f>(S27-N26)/360*$U$26*$K$26</f>
        <v>0.16</v>
      </c>
      <c r="U27" s="25">
        <f>T27-Q27</f>
        <v>0</v>
      </c>
      <c r="V27" s="18"/>
      <c r="W27" s="10"/>
      <c r="X27" s="10"/>
      <c r="Y27" s="29">
        <f>ROUNDUP((V27-N26)*K26*X26/365,2)</f>
        <v>-924.13</v>
      </c>
      <c r="Z27" s="10"/>
      <c r="AA27" s="10"/>
      <c r="AB27" s="10"/>
    </row>
    <row r="28" spans="1:30" s="2" customFormat="1">
      <c r="A28" s="10"/>
      <c r="B28" s="10"/>
      <c r="C28" s="10"/>
      <c r="D28" s="10"/>
      <c r="E28" s="10"/>
      <c r="F28" s="10"/>
      <c r="G28" s="10"/>
      <c r="H28" s="10"/>
      <c r="I28" s="10"/>
      <c r="J28" s="10"/>
      <c r="K28" s="10"/>
      <c r="L28" s="10"/>
      <c r="M28" s="17"/>
      <c r="N28" s="18"/>
      <c r="O28" s="18"/>
      <c r="P28" s="19">
        <v>45006</v>
      </c>
      <c r="Q28" s="25">
        <v>1.1100000000000001</v>
      </c>
      <c r="R28" s="10"/>
      <c r="S28" s="19">
        <f t="shared" ref="S28:S36" si="4">P28</f>
        <v>45006</v>
      </c>
      <c r="T28" s="25">
        <f>(S28-S27)*$U$26*$K$26/360</f>
        <v>1.1100000000000001</v>
      </c>
      <c r="U28" s="25">
        <f t="shared" ref="U28:U36" si="5">T28-Q28</f>
        <v>0</v>
      </c>
      <c r="V28" s="10"/>
      <c r="W28" s="10"/>
      <c r="X28" s="10"/>
      <c r="Y28" s="29">
        <f>ROUNDUP((O26-V27+1)*(K26-W27)*X26/365,2)</f>
        <v>930.66</v>
      </c>
      <c r="Z28" s="10"/>
      <c r="AA28" s="10"/>
      <c r="AB28" s="10"/>
    </row>
    <row r="29" spans="1:30" s="2" customFormat="1">
      <c r="A29" s="10"/>
      <c r="B29" s="10"/>
      <c r="C29" s="10"/>
      <c r="D29" s="10"/>
      <c r="E29" s="10"/>
      <c r="F29" s="10"/>
      <c r="G29" s="10"/>
      <c r="H29" s="10"/>
      <c r="I29" s="10"/>
      <c r="J29" s="10"/>
      <c r="K29" s="10"/>
      <c r="L29" s="10"/>
      <c r="M29" s="17"/>
      <c r="N29" s="18"/>
      <c r="O29" s="18"/>
      <c r="P29" s="19">
        <v>45037</v>
      </c>
      <c r="Q29" s="25">
        <v>1.23</v>
      </c>
      <c r="R29" s="10"/>
      <c r="S29" s="19">
        <f t="shared" si="4"/>
        <v>45037</v>
      </c>
      <c r="T29" s="25">
        <f t="shared" ref="T29:T36" si="6">(S29-S28)*$U$26*$K$26/360</f>
        <v>1.23</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45067</v>
      </c>
      <c r="Q30" s="25">
        <v>1.19</v>
      </c>
      <c r="R30" s="10"/>
      <c r="S30" s="19">
        <f t="shared" si="4"/>
        <v>45067</v>
      </c>
      <c r="T30" s="25">
        <f t="shared" si="6"/>
        <v>1.19</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45098</v>
      </c>
      <c r="Q31" s="25">
        <v>1.23</v>
      </c>
      <c r="R31" s="10"/>
      <c r="S31" s="19">
        <f t="shared" si="4"/>
        <v>45098</v>
      </c>
      <c r="T31" s="25">
        <f t="shared" si="6"/>
        <v>1.23</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45128</v>
      </c>
      <c r="Q32" s="25">
        <v>1.19</v>
      </c>
      <c r="R32" s="10"/>
      <c r="S32" s="19">
        <f t="shared" si="4"/>
        <v>45128</v>
      </c>
      <c r="T32" s="25">
        <f t="shared" si="6"/>
        <v>1.19</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45159</v>
      </c>
      <c r="Q33" s="25">
        <v>1.23</v>
      </c>
      <c r="R33" s="10"/>
      <c r="S33" s="19">
        <f t="shared" si="4"/>
        <v>45159</v>
      </c>
      <c r="T33" s="25">
        <f t="shared" si="6"/>
        <v>1.23</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45190</v>
      </c>
      <c r="Q34" s="25">
        <v>1.23</v>
      </c>
      <c r="R34" s="10"/>
      <c r="S34" s="19">
        <f t="shared" si="4"/>
        <v>45190</v>
      </c>
      <c r="T34" s="25">
        <f t="shared" si="6"/>
        <v>1.23</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45220</v>
      </c>
      <c r="Q35" s="25">
        <v>1.19</v>
      </c>
      <c r="R35" s="10"/>
      <c r="S35" s="19">
        <f t="shared" si="4"/>
        <v>45220</v>
      </c>
      <c r="T35" s="25">
        <f t="shared" si="6"/>
        <v>1.19</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45251</v>
      </c>
      <c r="Q36" s="25">
        <v>1.23</v>
      </c>
      <c r="R36" s="10"/>
      <c r="S36" s="19">
        <f t="shared" si="4"/>
        <v>45251</v>
      </c>
      <c r="T36" s="25">
        <f t="shared" si="6"/>
        <v>1.23</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45281</v>
      </c>
      <c r="Q37" s="25">
        <v>1.19</v>
      </c>
      <c r="R37" s="10"/>
      <c r="S37" s="19">
        <f t="shared" ref="S37:S38" si="7">P37</f>
        <v>45281</v>
      </c>
      <c r="T37" s="25">
        <f t="shared" ref="T37:T38" si="8">(S37-S36)*$U$26*$K$26/360</f>
        <v>1.19</v>
      </c>
      <c r="U37" s="25">
        <f t="shared" ref="U37:U38" si="9">T37-Q37</f>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45303</v>
      </c>
      <c r="Q38" s="25">
        <v>0.85</v>
      </c>
      <c r="R38" s="10"/>
      <c r="S38" s="19">
        <f t="shared" si="7"/>
        <v>45303</v>
      </c>
      <c r="T38" s="25">
        <f t="shared" si="8"/>
        <v>0.87</v>
      </c>
      <c r="U38" s="25">
        <f t="shared" si="9"/>
        <v>0.02</v>
      </c>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c r="A48" s="9">
        <v>3</v>
      </c>
      <c r="B48" s="9" t="str">
        <f>B26</f>
        <v>成都天奥测控技术有限公司</v>
      </c>
      <c r="C48" s="9" t="str">
        <f t="shared" ref="C48:G48" si="10">C26</f>
        <v>成都高新技术产业开发区市场监督管理局</v>
      </c>
      <c r="D48" s="9" t="str">
        <f t="shared" si="10"/>
        <v>91510100755952122H</v>
      </c>
      <c r="E48" s="9" t="str">
        <f t="shared" si="10"/>
        <v>其他有限责任公司</v>
      </c>
      <c r="F48" s="9" t="str">
        <f t="shared" si="10"/>
        <v>国家税务局成都高新技术产业开发区税务局</v>
      </c>
      <c r="G48" s="9" t="str">
        <f t="shared" si="10"/>
        <v>建行成都茶店子支行51001416146051502609</v>
      </c>
      <c r="H48" s="9" t="s">
        <v>130</v>
      </c>
      <c r="I48" s="9" t="s">
        <v>157</v>
      </c>
      <c r="J48" s="9" t="s">
        <v>39</v>
      </c>
      <c r="K48" s="9">
        <v>1000</v>
      </c>
      <c r="L48" s="9" t="s">
        <v>462</v>
      </c>
      <c r="M48" s="20" t="s">
        <v>463</v>
      </c>
      <c r="N48" s="16">
        <v>45254</v>
      </c>
      <c r="O48" s="16">
        <v>45291</v>
      </c>
      <c r="P48" s="9">
        <f>P50-N48</f>
        <v>58</v>
      </c>
      <c r="Q48" s="22">
        <f>SUM(Q49:Q69)</f>
        <v>4.3600000000000003</v>
      </c>
      <c r="R48" s="127">
        <v>1.52</v>
      </c>
      <c r="S48" s="9"/>
      <c r="T48" s="9">
        <f>SUM(T49:T69)</f>
        <v>4.3600000000000003</v>
      </c>
      <c r="U48" s="23">
        <v>2.7E-2</v>
      </c>
      <c r="V48" s="16"/>
      <c r="W48" s="9" t="s">
        <v>42</v>
      </c>
      <c r="X48" s="24">
        <v>1.4999999999999999E-2</v>
      </c>
      <c r="Y48" s="9">
        <f>ROUNDUP(IF((O48-N48+1)*K48*X48/365&gt;R48,R48,(O48-N48+1)*K48*X48/365),2)</f>
        <v>1.52</v>
      </c>
      <c r="Z48" s="141">
        <f>R48-Y48</f>
        <v>0</v>
      </c>
      <c r="AA48" s="30"/>
      <c r="AB48" s="9" t="s">
        <v>178</v>
      </c>
    </row>
    <row r="49" spans="1:28" s="2" customFormat="1">
      <c r="A49" s="10"/>
      <c r="B49" s="10"/>
      <c r="C49" s="10"/>
      <c r="D49" s="10"/>
      <c r="E49" s="10"/>
      <c r="F49" s="10"/>
      <c r="G49" s="10"/>
      <c r="H49" s="10"/>
      <c r="I49" s="10"/>
      <c r="J49" s="10"/>
      <c r="K49" s="10"/>
      <c r="L49" s="10"/>
      <c r="M49" s="17"/>
      <c r="N49" s="18"/>
      <c r="O49" s="15">
        <v>45620</v>
      </c>
      <c r="P49" s="19">
        <v>45281</v>
      </c>
      <c r="Q49" s="25">
        <v>2.0299999999999998</v>
      </c>
      <c r="R49" s="10"/>
      <c r="S49" s="19">
        <f>P49</f>
        <v>45281</v>
      </c>
      <c r="T49" s="25">
        <f>(S49-N48)/360*$U$48*$K$48</f>
        <v>2.0299999999999998</v>
      </c>
      <c r="U49" s="25">
        <f>T49-Q49</f>
        <v>0</v>
      </c>
      <c r="V49" s="18"/>
      <c r="W49" s="10"/>
      <c r="X49" s="10"/>
      <c r="Y49" s="10"/>
      <c r="Z49" s="10"/>
      <c r="AA49" s="10"/>
      <c r="AB49" s="10"/>
    </row>
    <row r="50" spans="1:28" s="2" customFormat="1">
      <c r="A50" s="10"/>
      <c r="B50" s="10"/>
      <c r="C50" s="10"/>
      <c r="D50" s="10"/>
      <c r="E50" s="10"/>
      <c r="F50" s="10"/>
      <c r="G50" s="10"/>
      <c r="H50" s="10"/>
      <c r="I50" s="10"/>
      <c r="J50" s="10"/>
      <c r="K50" s="10"/>
      <c r="L50" s="10"/>
      <c r="M50" s="17"/>
      <c r="N50" s="18"/>
      <c r="O50" s="18"/>
      <c r="P50" s="19">
        <v>45312</v>
      </c>
      <c r="Q50" s="25">
        <v>2.33</v>
      </c>
      <c r="R50" s="10"/>
      <c r="S50" s="19">
        <f t="shared" ref="S50" si="11">P50</f>
        <v>45312</v>
      </c>
      <c r="T50" s="25">
        <f>(S50-S49)*$U$48*$K$48/360</f>
        <v>2.33</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成都天奥测控技术有限公司</v>
      </c>
      <c r="C70" s="9" t="str">
        <f t="shared" ref="C70:G70" si="13">C48</f>
        <v>成都高新技术产业开发区市场监督管理局</v>
      </c>
      <c r="D70" s="9" t="str">
        <f t="shared" si="13"/>
        <v>91510100755952122H</v>
      </c>
      <c r="E70" s="9" t="str">
        <f t="shared" si="13"/>
        <v>其他有限责任公司</v>
      </c>
      <c r="F70" s="9" t="str">
        <f t="shared" si="13"/>
        <v>国家税务局成都高新技术产业开发区税务局</v>
      </c>
      <c r="G70" s="9" t="str">
        <f t="shared" si="13"/>
        <v>建行成都茶店子支行51001416146051502609</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成都天奥测控技术有限公司</v>
      </c>
      <c r="C92" s="9" t="str">
        <f t="shared" ref="C92:G92" si="14">C70</f>
        <v>成都高新技术产业开发区市场监督管理局</v>
      </c>
      <c r="D92" s="9" t="str">
        <f t="shared" si="14"/>
        <v>91510100755952122H</v>
      </c>
      <c r="E92" s="9" t="str">
        <f t="shared" si="14"/>
        <v>其他有限责任公司</v>
      </c>
      <c r="F92" s="9" t="str">
        <f t="shared" si="14"/>
        <v>国家税务局成都高新技术产业开发区税务局</v>
      </c>
      <c r="G92" s="9" t="str">
        <f t="shared" si="14"/>
        <v>建行成都茶店子支行51001416146051502609</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2500</v>
      </c>
      <c r="L114" s="9"/>
      <c r="M114" s="20"/>
      <c r="N114" s="16"/>
      <c r="O114" s="16"/>
      <c r="P114" s="9"/>
      <c r="Q114" s="9"/>
      <c r="R114" s="9">
        <f>R92+R70+R48+R26++R4</f>
        <v>23.03</v>
      </c>
      <c r="S114" s="9"/>
      <c r="T114" s="9"/>
      <c r="U114" s="9"/>
      <c r="V114" s="9"/>
      <c r="W114" s="9"/>
      <c r="X114" s="9"/>
      <c r="Y114" s="9">
        <f>Y92+Y70+Y48+Y26++Y4</f>
        <v>22.74</v>
      </c>
      <c r="Z114" s="9"/>
      <c r="AA114" s="9"/>
      <c r="AB114" s="9"/>
    </row>
    <row r="115" spans="1:28">
      <c r="I115" t="s">
        <v>49</v>
      </c>
      <c r="K115">
        <f>IF(K114&gt;3000,K116,K114)</f>
        <v>2500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116"/>
  <sheetViews>
    <sheetView topLeftCell="C1" zoomScale="60" zoomScaleNormal="60" workbookViewId="0">
      <pane ySplit="3" topLeftCell="A4" activePane="bottomLeft" state="frozen"/>
      <selection pane="bottomLeft" activeCell="N4" sqref="N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成都普什制药有限公司审计明细表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464</v>
      </c>
      <c r="C4" s="9" t="s">
        <v>32</v>
      </c>
      <c r="D4" s="9" t="s">
        <v>465</v>
      </c>
      <c r="E4" s="9" t="s">
        <v>121</v>
      </c>
      <c r="F4" s="9" t="s">
        <v>201</v>
      </c>
      <c r="G4" s="9" t="s">
        <v>466</v>
      </c>
      <c r="H4" s="9" t="s">
        <v>467</v>
      </c>
      <c r="I4" s="9" t="s">
        <v>468</v>
      </c>
      <c r="J4" s="9" t="s">
        <v>73</v>
      </c>
      <c r="K4" s="9">
        <v>1800</v>
      </c>
      <c r="L4" s="9" t="s">
        <v>469</v>
      </c>
      <c r="M4" s="20" t="s">
        <v>470</v>
      </c>
      <c r="N4" s="16">
        <v>44889</v>
      </c>
      <c r="O4" s="16">
        <v>45246</v>
      </c>
      <c r="P4" s="9">
        <f>P16-N4</f>
        <v>357</v>
      </c>
      <c r="Q4" s="22">
        <f>SUM(Q5:Q25)</f>
        <v>74.97</v>
      </c>
      <c r="R4" s="22">
        <v>35.31</v>
      </c>
      <c r="S4" s="9"/>
      <c r="T4" s="22">
        <f>SUM(T5:T25)</f>
        <v>74.97</v>
      </c>
      <c r="U4" s="23">
        <v>4.2000000000000003E-2</v>
      </c>
      <c r="V4" s="16"/>
      <c r="W4" s="9" t="s">
        <v>471</v>
      </c>
      <c r="X4" s="24">
        <v>0.02</v>
      </c>
      <c r="Y4" s="9">
        <f>ROUNDDOWN(IF((O4-N4+1)*K4*X4/365&gt;R4,R4,(O4-N4+1)*K4*X4/365),2)</f>
        <v>35.299999999999997</v>
      </c>
      <c r="Z4" s="22">
        <f>R4-Y4</f>
        <v>0.01</v>
      </c>
      <c r="AA4" s="22" t="s">
        <v>108</v>
      </c>
      <c r="AB4" s="9" t="s">
        <v>61</v>
      </c>
      <c r="AD4" s="28">
        <f>(O4-N4+1)*K4*X4/365</f>
        <v>35.309600000000003</v>
      </c>
    </row>
    <row r="5" spans="1:30" s="2" customFormat="1">
      <c r="A5" s="10"/>
      <c r="B5" s="10"/>
      <c r="C5" s="10"/>
      <c r="D5" s="10"/>
      <c r="E5" s="10"/>
      <c r="F5" s="10"/>
      <c r="G5" s="10"/>
      <c r="H5" s="10"/>
      <c r="I5" s="10"/>
      <c r="J5" s="10"/>
      <c r="K5" s="10"/>
      <c r="L5" s="10"/>
      <c r="M5" s="17"/>
      <c r="N5" s="18"/>
      <c r="O5" s="18"/>
      <c r="P5" s="19">
        <v>44916</v>
      </c>
      <c r="Q5" s="25">
        <v>5.67</v>
      </c>
      <c r="R5" s="10"/>
      <c r="S5" s="19">
        <f>P5</f>
        <v>44916</v>
      </c>
      <c r="T5" s="25">
        <f>(S5-N4)/360*$U$4*$K$4</f>
        <v>5.67</v>
      </c>
      <c r="U5" s="25">
        <f>T5-Q5</f>
        <v>0</v>
      </c>
      <c r="V5" s="18">
        <v>45246</v>
      </c>
      <c r="W5" s="10">
        <v>1800</v>
      </c>
      <c r="X5" s="10"/>
      <c r="Y5" s="10">
        <f>ROUNDDOWN((V5-N4)*K4*X4/365,2)</f>
        <v>35.21</v>
      </c>
      <c r="Z5" s="10"/>
      <c r="AA5" s="10"/>
      <c r="AB5" s="10"/>
    </row>
    <row r="6" spans="1:30" s="2" customFormat="1">
      <c r="A6" s="10"/>
      <c r="B6" s="10"/>
      <c r="C6" s="10"/>
      <c r="D6" s="10"/>
      <c r="E6" s="10"/>
      <c r="F6" s="10"/>
      <c r="G6" s="10"/>
      <c r="H6" s="10"/>
      <c r="I6" s="10"/>
      <c r="J6" s="10"/>
      <c r="K6" s="10"/>
      <c r="L6" s="10"/>
      <c r="M6" s="17"/>
      <c r="N6" s="18"/>
      <c r="O6" s="18"/>
      <c r="P6" s="19">
        <v>44947</v>
      </c>
      <c r="Q6" s="25">
        <v>6.51</v>
      </c>
      <c r="R6" s="10"/>
      <c r="S6" s="19">
        <f t="shared" ref="S6:S16" si="0">P6</f>
        <v>44947</v>
      </c>
      <c r="T6" s="25">
        <f>(S6-S5)*$K$4*$U$4/360</f>
        <v>6.51</v>
      </c>
      <c r="U6" s="25">
        <f>T6-Q6</f>
        <v>0</v>
      </c>
      <c r="V6" s="10"/>
      <c r="W6" s="10"/>
      <c r="X6" s="10"/>
      <c r="Y6" s="29">
        <f>ROUNDDOWN((O4-V5+1)*(K4-W5)*X4/365,2)</f>
        <v>0</v>
      </c>
      <c r="Z6" s="10"/>
      <c r="AA6" s="10"/>
      <c r="AB6" s="10"/>
    </row>
    <row r="7" spans="1:30" s="2" customFormat="1">
      <c r="A7" s="10"/>
      <c r="B7" s="10"/>
      <c r="C7" s="10"/>
      <c r="D7" s="10"/>
      <c r="E7" s="10"/>
      <c r="F7" s="10"/>
      <c r="G7" s="10"/>
      <c r="H7" s="10"/>
      <c r="I7" s="10"/>
      <c r="J7" s="10"/>
      <c r="K7" s="10"/>
      <c r="L7" s="10"/>
      <c r="M7" s="17"/>
      <c r="N7" s="18"/>
      <c r="O7" s="18"/>
      <c r="P7" s="19">
        <v>44978</v>
      </c>
      <c r="Q7" s="25">
        <v>6.51</v>
      </c>
      <c r="R7" s="10"/>
      <c r="S7" s="19">
        <f t="shared" si="0"/>
        <v>44978</v>
      </c>
      <c r="T7" s="25">
        <f t="shared" ref="T7:T16" si="1">(S7-S6)*$K$4*$U$4/360</f>
        <v>6.51</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45006</v>
      </c>
      <c r="Q8" s="25">
        <v>5.88</v>
      </c>
      <c r="R8" s="10"/>
      <c r="S8" s="19">
        <f t="shared" si="0"/>
        <v>45006</v>
      </c>
      <c r="T8" s="25">
        <f t="shared" si="1"/>
        <v>5.88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45037</v>
      </c>
      <c r="Q9" s="25">
        <v>6.51</v>
      </c>
      <c r="R9" s="10"/>
      <c r="S9" s="19">
        <f t="shared" si="0"/>
        <v>45037</v>
      </c>
      <c r="T9" s="25">
        <f t="shared" si="1"/>
        <v>6.51</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45067</v>
      </c>
      <c r="Q10" s="25">
        <v>6.3</v>
      </c>
      <c r="R10" s="10"/>
      <c r="S10" s="19">
        <f t="shared" si="0"/>
        <v>45067</v>
      </c>
      <c r="T10" s="25">
        <f t="shared" si="1"/>
        <v>6.3</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45098</v>
      </c>
      <c r="Q11" s="25">
        <v>6.51</v>
      </c>
      <c r="R11" s="10"/>
      <c r="S11" s="19">
        <f t="shared" si="0"/>
        <v>45098</v>
      </c>
      <c r="T11" s="25">
        <f t="shared" si="1"/>
        <v>6.51</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45128</v>
      </c>
      <c r="Q12" s="25">
        <v>6.3</v>
      </c>
      <c r="R12" s="10"/>
      <c r="S12" s="19">
        <f t="shared" si="0"/>
        <v>45128</v>
      </c>
      <c r="T12" s="25">
        <f t="shared" si="1"/>
        <v>6.3</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45159</v>
      </c>
      <c r="Q13" s="25">
        <v>6.51</v>
      </c>
      <c r="R13" s="10"/>
      <c r="S13" s="19">
        <f t="shared" si="0"/>
        <v>45159</v>
      </c>
      <c r="T13" s="25">
        <f t="shared" si="1"/>
        <v>6.51</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45190</v>
      </c>
      <c r="Q14" s="25">
        <v>6.51</v>
      </c>
      <c r="R14" s="10"/>
      <c r="S14" s="19">
        <f t="shared" si="0"/>
        <v>45190</v>
      </c>
      <c r="T14" s="25">
        <f t="shared" si="1"/>
        <v>6.51</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45220</v>
      </c>
      <c r="Q15" s="25">
        <v>6.3</v>
      </c>
      <c r="R15" s="10"/>
      <c r="S15" s="19">
        <f t="shared" si="0"/>
        <v>45220</v>
      </c>
      <c r="T15" s="25">
        <f t="shared" si="1"/>
        <v>6.3</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45246</v>
      </c>
      <c r="Q16" s="25">
        <v>5.46</v>
      </c>
      <c r="R16" s="10"/>
      <c r="S16" s="19">
        <f t="shared" si="0"/>
        <v>45246</v>
      </c>
      <c r="T16" s="25">
        <f t="shared" si="1"/>
        <v>5.46</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4" customHeight="1">
      <c r="A26" s="9">
        <v>2</v>
      </c>
      <c r="B26" s="9" t="str">
        <f>B4</f>
        <v>成都普什制药有限公司</v>
      </c>
      <c r="C26" s="9" t="str">
        <f t="shared" ref="C26:G26" si="3">C4</f>
        <v>成都高新技术产业开发区市场监督管理局</v>
      </c>
      <c r="D26" s="9" t="str">
        <f t="shared" si="3"/>
        <v>9151010066302760XF</v>
      </c>
      <c r="E26" s="9" t="str">
        <f t="shared" si="3"/>
        <v>其他有限责任公司</v>
      </c>
      <c r="F26" s="9" t="str">
        <f t="shared" si="3"/>
        <v>成都高新区税务局</v>
      </c>
      <c r="G26" s="9" t="str">
        <f t="shared" si="3"/>
        <v>51001458208051504835中国建设银行股份有限公司成都第五支行</v>
      </c>
      <c r="H26" s="9" t="s">
        <v>130</v>
      </c>
      <c r="I26" s="9" t="s">
        <v>472</v>
      </c>
      <c r="J26" s="9" t="s">
        <v>294</v>
      </c>
      <c r="K26" s="9">
        <v>1000</v>
      </c>
      <c r="L26" s="9" t="s">
        <v>473</v>
      </c>
      <c r="M26" s="20" t="s">
        <v>474</v>
      </c>
      <c r="N26" s="16">
        <v>44985</v>
      </c>
      <c r="O26" s="16">
        <v>45291</v>
      </c>
      <c r="P26" s="140">
        <f>P37-N26</f>
        <v>326</v>
      </c>
      <c r="Q26" s="22">
        <f>SUM(Q27:Q47)</f>
        <v>35.78</v>
      </c>
      <c r="R26" s="9">
        <v>12.57</v>
      </c>
      <c r="S26" s="9"/>
      <c r="T26" s="9">
        <f>SUM(T27:T47)</f>
        <v>36.18</v>
      </c>
      <c r="U26" s="23">
        <v>0.04</v>
      </c>
      <c r="V26" s="16"/>
      <c r="W26" s="9" t="s">
        <v>42</v>
      </c>
      <c r="X26" s="24">
        <v>1.4999999999999999E-2</v>
      </c>
      <c r="Y26" s="9">
        <f>ROUNDDOWN(IF((O26-N26+1)*K26*X26/365&gt;R26,R26,(O26-N26+1)*K26*X26/365),2)</f>
        <v>12.57</v>
      </c>
      <c r="Z26" s="9">
        <f>R26-Y26</f>
        <v>0</v>
      </c>
      <c r="AA26" s="9"/>
      <c r="AB26" s="9" t="s">
        <v>61</v>
      </c>
      <c r="AD26" s="1">
        <f>(O26-N26+1)*K26*X26/365</f>
        <v>12.6164383561644</v>
      </c>
    </row>
    <row r="27" spans="1:30" s="2" customFormat="1">
      <c r="A27" s="10"/>
      <c r="B27" s="10"/>
      <c r="C27" s="10"/>
      <c r="D27" s="10"/>
      <c r="E27" s="10"/>
      <c r="F27" s="10"/>
      <c r="G27" s="10"/>
      <c r="H27" s="10"/>
      <c r="I27" s="10"/>
      <c r="J27" s="10"/>
      <c r="K27" s="10"/>
      <c r="L27" s="10"/>
      <c r="M27" s="17"/>
      <c r="N27" s="18"/>
      <c r="O27" s="16">
        <v>45715</v>
      </c>
      <c r="P27" s="19">
        <v>45005</v>
      </c>
      <c r="Q27" s="25">
        <v>2.2200000000000002</v>
      </c>
      <c r="R27" s="10"/>
      <c r="S27" s="19">
        <f>P27</f>
        <v>45005</v>
      </c>
      <c r="T27" s="25">
        <f>(S27-N26)/360*$U$26*$K$26</f>
        <v>2.2200000000000002</v>
      </c>
      <c r="U27" s="25">
        <f>T27-Q27</f>
        <v>0</v>
      </c>
      <c r="V27" s="18"/>
      <c r="W27" s="10"/>
      <c r="X27" s="10"/>
      <c r="Y27" s="29">
        <f>ROUNDUP((V27-N26)*K26*X26/365,2)</f>
        <v>-1848.7</v>
      </c>
      <c r="Z27" s="10"/>
      <c r="AA27" s="10"/>
      <c r="AB27" s="10"/>
    </row>
    <row r="28" spans="1:30" s="2" customFormat="1">
      <c r="A28" s="10"/>
      <c r="B28" s="10"/>
      <c r="C28" s="10"/>
      <c r="D28" s="10"/>
      <c r="E28" s="10"/>
      <c r="F28" s="10"/>
      <c r="G28" s="10"/>
      <c r="H28" s="10"/>
      <c r="I28" s="10"/>
      <c r="J28" s="10"/>
      <c r="K28" s="10"/>
      <c r="L28" s="10"/>
      <c r="M28" s="17"/>
      <c r="N28" s="18"/>
      <c r="O28" s="18"/>
      <c r="P28" s="19">
        <v>45036</v>
      </c>
      <c r="Q28" s="25">
        <v>3.44</v>
      </c>
      <c r="R28" s="10"/>
      <c r="S28" s="19">
        <f t="shared" ref="S28:S36" si="4">P28</f>
        <v>45036</v>
      </c>
      <c r="T28" s="25">
        <f>(S28-S27)*$U$26*$K$26/360</f>
        <v>3.44</v>
      </c>
      <c r="U28" s="25">
        <f t="shared" ref="U28:U36" si="5">T28-Q28</f>
        <v>0</v>
      </c>
      <c r="V28" s="10"/>
      <c r="W28" s="10"/>
      <c r="X28" s="10"/>
      <c r="Y28" s="29">
        <f>ROUNDDOWN((O26-V27+1)*(K26-W27)*X26/365,2)</f>
        <v>1861.31</v>
      </c>
      <c r="Z28" s="10"/>
      <c r="AA28" s="10"/>
      <c r="AB28" s="10"/>
    </row>
    <row r="29" spans="1:30" s="2" customFormat="1">
      <c r="A29" s="10"/>
      <c r="B29" s="10"/>
      <c r="C29" s="10"/>
      <c r="D29" s="10"/>
      <c r="E29" s="10"/>
      <c r="F29" s="10"/>
      <c r="G29" s="10"/>
      <c r="H29" s="10"/>
      <c r="I29" s="10"/>
      <c r="J29" s="10"/>
      <c r="K29" s="10"/>
      <c r="L29" s="10"/>
      <c r="M29" s="17"/>
      <c r="N29" s="18"/>
      <c r="O29" s="18"/>
      <c r="P29" s="19">
        <v>45066</v>
      </c>
      <c r="Q29" s="25">
        <v>3.33</v>
      </c>
      <c r="R29" s="10"/>
      <c r="S29" s="19">
        <f t="shared" si="4"/>
        <v>45066</v>
      </c>
      <c r="T29" s="25">
        <f t="shared" ref="T29:T36" si="6">(S29-S28)*$U$26*$K$26/360</f>
        <v>3.33</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45097</v>
      </c>
      <c r="Q30" s="25">
        <v>3.44</v>
      </c>
      <c r="R30" s="10"/>
      <c r="S30" s="19">
        <f t="shared" si="4"/>
        <v>45097</v>
      </c>
      <c r="T30" s="25">
        <f t="shared" si="6"/>
        <v>3.44</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45127</v>
      </c>
      <c r="Q31" s="25">
        <v>3.33</v>
      </c>
      <c r="R31" s="10"/>
      <c r="S31" s="19">
        <f t="shared" si="4"/>
        <v>45127</v>
      </c>
      <c r="T31" s="25">
        <f t="shared" si="6"/>
        <v>3.33</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45158</v>
      </c>
      <c r="Q32" s="25">
        <f>1.41+2.03</f>
        <v>3.44</v>
      </c>
      <c r="R32" s="10"/>
      <c r="S32" s="19">
        <f t="shared" si="4"/>
        <v>45158</v>
      </c>
      <c r="T32" s="25">
        <f t="shared" si="6"/>
        <v>3.44</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45189</v>
      </c>
      <c r="Q33" s="25">
        <v>3.36</v>
      </c>
      <c r="R33" s="10"/>
      <c r="S33" s="19">
        <f t="shared" si="4"/>
        <v>45189</v>
      </c>
      <c r="T33" s="25">
        <f t="shared" si="6"/>
        <v>3.44</v>
      </c>
      <c r="U33" s="25">
        <f t="shared" si="5"/>
        <v>0.08</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45219</v>
      </c>
      <c r="Q34" s="25">
        <v>3.25</v>
      </c>
      <c r="R34" s="10"/>
      <c r="S34" s="19">
        <f t="shared" si="4"/>
        <v>45219</v>
      </c>
      <c r="T34" s="25">
        <f t="shared" si="6"/>
        <v>3.33</v>
      </c>
      <c r="U34" s="25">
        <f t="shared" si="5"/>
        <v>0.08</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45250</v>
      </c>
      <c r="Q35" s="25">
        <v>3.36</v>
      </c>
      <c r="R35" s="10"/>
      <c r="S35" s="19">
        <f t="shared" si="4"/>
        <v>45250</v>
      </c>
      <c r="T35" s="25">
        <f t="shared" si="6"/>
        <v>3.44</v>
      </c>
      <c r="U35" s="25">
        <f t="shared" si="5"/>
        <v>0.08</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45280</v>
      </c>
      <c r="Q36" s="25">
        <v>3.25</v>
      </c>
      <c r="R36" s="10"/>
      <c r="S36" s="19">
        <f t="shared" si="4"/>
        <v>45280</v>
      </c>
      <c r="T36" s="25">
        <f t="shared" si="6"/>
        <v>3.33</v>
      </c>
      <c r="U36" s="25">
        <f t="shared" si="5"/>
        <v>0.08</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45311</v>
      </c>
      <c r="Q37" s="25">
        <v>3.36</v>
      </c>
      <c r="R37" s="10"/>
      <c r="S37" s="19">
        <f t="shared" ref="S37" si="7">P37</f>
        <v>45311</v>
      </c>
      <c r="T37" s="25">
        <f t="shared" ref="T37" si="8">(S37-S36)*$U$26*$K$26/360</f>
        <v>3.44</v>
      </c>
      <c r="U37" s="25">
        <f t="shared" ref="U37" si="9">T37-Q37</f>
        <v>0.08</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成都普什制药有限公司</v>
      </c>
      <c r="C48" s="9" t="str">
        <f t="shared" ref="C48:G48" si="10">C26</f>
        <v>成都高新技术产业开发区市场监督管理局</v>
      </c>
      <c r="D48" s="9" t="str">
        <f t="shared" si="10"/>
        <v>9151010066302760XF</v>
      </c>
      <c r="E48" s="9" t="str">
        <f t="shared" si="10"/>
        <v>其他有限责任公司</v>
      </c>
      <c r="F48" s="9" t="str">
        <f t="shared" si="10"/>
        <v>成都高新区税务局</v>
      </c>
      <c r="G48" s="9" t="str">
        <f t="shared" si="10"/>
        <v>51001458208051504835中国建设银行股份有限公司成都第五支行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1">P50</f>
        <v>0</v>
      </c>
      <c r="T50" s="25">
        <f>(S50-S49)*$U$48*$K$48/360</f>
        <v>0</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成都普什制药有限公司</v>
      </c>
      <c r="C70" s="9" t="str">
        <f t="shared" ref="C70:G70" si="13">C48</f>
        <v>成都高新技术产业开发区市场监督管理局</v>
      </c>
      <c r="D70" s="9" t="str">
        <f t="shared" si="13"/>
        <v>9151010066302760XF</v>
      </c>
      <c r="E70" s="9" t="str">
        <f t="shared" si="13"/>
        <v>其他有限责任公司</v>
      </c>
      <c r="F70" s="9" t="str">
        <f t="shared" si="13"/>
        <v>成都高新区税务局</v>
      </c>
      <c r="G70" s="9" t="str">
        <f t="shared" si="13"/>
        <v>51001458208051504835中国建设银行股份有限公司成都第五支行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成都普什制药有限公司</v>
      </c>
      <c r="C92" s="9" t="str">
        <f t="shared" ref="C92:G92" si="14">C70</f>
        <v>成都高新技术产业开发区市场监督管理局</v>
      </c>
      <c r="D92" s="9" t="str">
        <f t="shared" si="14"/>
        <v>9151010066302760XF</v>
      </c>
      <c r="E92" s="9" t="str">
        <f t="shared" si="14"/>
        <v>其他有限责任公司</v>
      </c>
      <c r="F92" s="9" t="str">
        <f t="shared" si="14"/>
        <v>成都高新区税务局</v>
      </c>
      <c r="G92" s="9" t="str">
        <f t="shared" si="14"/>
        <v>51001458208051504835中国建设银行股份有限公司成都第五支行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2800</v>
      </c>
      <c r="L114" s="9"/>
      <c r="M114" s="20"/>
      <c r="N114" s="16"/>
      <c r="O114" s="16"/>
      <c r="P114" s="9"/>
      <c r="Q114" s="9"/>
      <c r="R114" s="9">
        <f>R92+R70+R48+R26++R4</f>
        <v>47.88</v>
      </c>
      <c r="S114" s="9"/>
      <c r="T114" s="9"/>
      <c r="U114" s="9"/>
      <c r="V114" s="9"/>
      <c r="W114" s="9"/>
      <c r="X114" s="9"/>
      <c r="Y114" s="9">
        <f>Y92+Y70+Y48+Y26++Y4</f>
        <v>47.87</v>
      </c>
      <c r="Z114" s="9"/>
      <c r="AA114" s="9"/>
      <c r="AB114" s="9"/>
    </row>
    <row r="115" spans="1:28">
      <c r="I115" t="s">
        <v>49</v>
      </c>
      <c r="K115">
        <f>IF(K114&gt;3000,K116,K114)</f>
        <v>2800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116"/>
  <sheetViews>
    <sheetView zoomScale="70" zoomScaleNormal="70" workbookViewId="0">
      <pane ySplit="3" topLeftCell="A4" activePane="bottomLeft" state="frozen"/>
      <selection pane="bottomLeft" activeCell="M6" sqref="M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成都邦普切削刀具股份有限公司审计明细表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475</v>
      </c>
      <c r="C4" s="9" t="s">
        <v>289</v>
      </c>
      <c r="D4" s="9" t="s">
        <v>476</v>
      </c>
      <c r="E4" s="9" t="s">
        <v>194</v>
      </c>
      <c r="F4" s="9" t="s">
        <v>291</v>
      </c>
      <c r="G4" s="9" t="s">
        <v>477</v>
      </c>
      <c r="H4" s="9" t="s">
        <v>71</v>
      </c>
      <c r="I4" s="9" t="s">
        <v>478</v>
      </c>
      <c r="J4" s="9">
        <v>24</v>
      </c>
      <c r="K4" s="9">
        <v>999</v>
      </c>
      <c r="L4" s="9" t="s">
        <v>479</v>
      </c>
      <c r="M4" s="20" t="s">
        <v>480</v>
      </c>
      <c r="N4" s="16">
        <v>44923</v>
      </c>
      <c r="O4" s="16">
        <v>45291</v>
      </c>
      <c r="P4" s="9">
        <f>P9-N4</f>
        <v>449</v>
      </c>
      <c r="Q4" s="22">
        <f>SUM(Q5:Q25)</f>
        <v>48.88</v>
      </c>
      <c r="R4" s="22">
        <v>14.99</v>
      </c>
      <c r="S4" s="9"/>
      <c r="T4" s="22">
        <f>SUM(T5:T25)</f>
        <v>49.83</v>
      </c>
      <c r="U4" s="23">
        <v>0.04</v>
      </c>
      <c r="V4" s="16"/>
      <c r="W4" s="9" t="s">
        <v>481</v>
      </c>
      <c r="X4" s="24">
        <v>1.4999999999999999E-2</v>
      </c>
      <c r="Y4" s="9">
        <f>ROUNDDOWN(IF((O4-N4+1)*K4*X4/365&gt;R4,R4,(O4-N4+1)*K4*X4/365),2)</f>
        <v>14.99</v>
      </c>
      <c r="Z4" s="22">
        <f>R4-Y4</f>
        <v>0</v>
      </c>
      <c r="AA4" s="22"/>
      <c r="AB4" s="9" t="s">
        <v>61</v>
      </c>
      <c r="AD4" s="28">
        <f>(O4-N4+1)*K4*X4/365</f>
        <v>15.1492</v>
      </c>
    </row>
    <row r="5" spans="1:30" s="2" customFormat="1" ht="28">
      <c r="A5" s="10"/>
      <c r="B5" s="10"/>
      <c r="C5" s="10"/>
      <c r="D5" s="10"/>
      <c r="E5" s="10"/>
      <c r="F5" s="10"/>
      <c r="G5" s="10"/>
      <c r="H5" s="10"/>
      <c r="I5" s="10"/>
      <c r="J5" s="10"/>
      <c r="K5" s="10"/>
      <c r="L5" s="10"/>
      <c r="M5" s="32" t="s">
        <v>482</v>
      </c>
      <c r="N5" s="18"/>
      <c r="O5" s="16">
        <v>45653</v>
      </c>
      <c r="P5" s="19">
        <v>45006</v>
      </c>
      <c r="Q5" s="25">
        <v>9.2100000000000009</v>
      </c>
      <c r="R5" s="10"/>
      <c r="S5" s="19">
        <f>P5</f>
        <v>45006</v>
      </c>
      <c r="T5" s="25">
        <f>(S5-N4)/360*$U$4*$K$4</f>
        <v>9.2100000000000009</v>
      </c>
      <c r="U5" s="25">
        <f>T5-Q5</f>
        <v>0</v>
      </c>
      <c r="V5" s="18">
        <v>45287</v>
      </c>
      <c r="W5" s="10">
        <v>50</v>
      </c>
      <c r="X5" s="10"/>
      <c r="Y5" s="10">
        <f>ROUNDDOWN((V5-N4)*K4*X4/365,2)</f>
        <v>14.94</v>
      </c>
      <c r="Z5" s="10"/>
      <c r="AA5" s="10"/>
      <c r="AB5" s="10"/>
    </row>
    <row r="6" spans="1:30" s="2" customFormat="1">
      <c r="A6" s="10"/>
      <c r="B6" s="10"/>
      <c r="C6" s="10"/>
      <c r="D6" s="10"/>
      <c r="E6" s="10"/>
      <c r="F6" s="10"/>
      <c r="G6" s="10"/>
      <c r="H6" s="10"/>
      <c r="I6" s="10"/>
      <c r="J6" s="10"/>
      <c r="K6" s="10"/>
      <c r="L6" s="10"/>
      <c r="M6" s="17"/>
      <c r="N6" s="18"/>
      <c r="O6" s="18"/>
      <c r="P6" s="19">
        <v>45098</v>
      </c>
      <c r="Q6" s="25">
        <v>10.210000000000001</v>
      </c>
      <c r="R6" s="10"/>
      <c r="S6" s="19">
        <f t="shared" ref="S6:S9" si="0">P6</f>
        <v>45098</v>
      </c>
      <c r="T6" s="25">
        <f>(S6-S5)*$K$4*$U$4/360</f>
        <v>10.210000000000001</v>
      </c>
      <c r="U6" s="25">
        <f>T6-Q6</f>
        <v>0</v>
      </c>
      <c r="V6" s="18">
        <v>45291</v>
      </c>
      <c r="W6" s="10"/>
      <c r="X6" s="10"/>
      <c r="Y6" s="10">
        <f>ROUNDDOWN((V6-V5)*(K4-W5)*X4/365,2)</f>
        <v>0.15</v>
      </c>
      <c r="Z6" s="10"/>
      <c r="AA6" s="10"/>
      <c r="AB6" s="10"/>
    </row>
    <row r="7" spans="1:30" s="2" customFormat="1">
      <c r="A7" s="10"/>
      <c r="B7" s="10"/>
      <c r="C7" s="10"/>
      <c r="D7" s="10"/>
      <c r="E7" s="10"/>
      <c r="F7" s="10"/>
      <c r="G7" s="10"/>
      <c r="H7" s="10"/>
      <c r="I7" s="10"/>
      <c r="J7" s="10"/>
      <c r="K7" s="10"/>
      <c r="L7" s="10"/>
      <c r="M7" s="17"/>
      <c r="N7" s="18"/>
      <c r="O7" s="18"/>
      <c r="P7" s="19">
        <v>45190</v>
      </c>
      <c r="Q7" s="25">
        <v>10.210000000000001</v>
      </c>
      <c r="R7" s="10"/>
      <c r="S7" s="19">
        <f t="shared" si="0"/>
        <v>45190</v>
      </c>
      <c r="T7" s="25">
        <f t="shared" ref="T7:T9" si="1">(S7-S6)*$K$4*$U$4/360</f>
        <v>10.210000000000001</v>
      </c>
      <c r="U7" s="25">
        <f t="shared" ref="U7:U9"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45281</v>
      </c>
      <c r="Q8" s="25">
        <v>10.1</v>
      </c>
      <c r="R8" s="10"/>
      <c r="S8" s="19">
        <f t="shared" si="0"/>
        <v>45281</v>
      </c>
      <c r="T8" s="25">
        <f t="shared" si="1"/>
        <v>10.1</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45372</v>
      </c>
      <c r="Q9" s="25">
        <v>9.15</v>
      </c>
      <c r="R9" s="10"/>
      <c r="S9" s="19">
        <f t="shared" si="0"/>
        <v>45372</v>
      </c>
      <c r="T9" s="25">
        <f t="shared" si="1"/>
        <v>10.1</v>
      </c>
      <c r="U9" s="25">
        <f t="shared" si="2"/>
        <v>0.95</v>
      </c>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98">
      <c r="A26" s="9">
        <v>2</v>
      </c>
      <c r="B26" s="9" t="str">
        <f>B4</f>
        <v>成都邦普切削刀具股份有限公司</v>
      </c>
      <c r="C26" s="9" t="str">
        <f t="shared" ref="C26:G26" si="3">C4</f>
        <v>成都高新区</v>
      </c>
      <c r="D26" s="9" t="str">
        <f t="shared" si="3"/>
        <v>91510100725362949Q</v>
      </c>
      <c r="E26" s="9" t="str">
        <f t="shared" si="3"/>
        <v>私营股份有限公司</v>
      </c>
      <c r="F26" s="9" t="str">
        <f t="shared" si="3"/>
        <v>国家税务总局成都高新技术产业开发区税务局第二税务所</v>
      </c>
      <c r="G26" s="9" t="str">
        <f t="shared" si="3"/>
        <v>51001416108059450025建行成都市第一支行</v>
      </c>
      <c r="H26" s="9" t="s">
        <v>71</v>
      </c>
      <c r="I26" s="9" t="s">
        <v>182</v>
      </c>
      <c r="J26" s="9">
        <v>12</v>
      </c>
      <c r="K26" s="9">
        <v>1000</v>
      </c>
      <c r="L26" s="9" t="s">
        <v>483</v>
      </c>
      <c r="M26" s="20" t="s">
        <v>484</v>
      </c>
      <c r="N26" s="16">
        <v>44767</v>
      </c>
      <c r="O26" s="16">
        <v>45132</v>
      </c>
      <c r="P26" s="9">
        <f>P38-N26</f>
        <v>361</v>
      </c>
      <c r="Q26" s="22">
        <f>SUM(Q27:Q47)</f>
        <v>35.07</v>
      </c>
      <c r="R26" s="9">
        <v>15.16</v>
      </c>
      <c r="S26" s="9"/>
      <c r="T26" s="9">
        <f>SUM(T27:T47)</f>
        <v>35.090000000000003</v>
      </c>
      <c r="U26" s="23">
        <v>3.5000000000000003E-2</v>
      </c>
      <c r="V26" s="16"/>
      <c r="W26" s="9" t="s">
        <v>42</v>
      </c>
      <c r="X26" s="24">
        <v>1.4999999999999999E-2</v>
      </c>
      <c r="Y26" s="9">
        <f>ROUNDDOWN(IF((O26-N26+1)*K26*X26/365&gt;R26,R26,(O26-N26+1)*K26*X26/365),2)</f>
        <v>15.04</v>
      </c>
      <c r="Z26" s="9">
        <f>R26-Y26</f>
        <v>0.12000000000000099</v>
      </c>
      <c r="AA26" s="9" t="s">
        <v>485</v>
      </c>
      <c r="AB26" s="9" t="s">
        <v>61</v>
      </c>
      <c r="AD26" s="1">
        <f>(O26-N26+1)*K26*X26/365</f>
        <v>15.041095890411</v>
      </c>
    </row>
    <row r="27" spans="1:30" s="2" customFormat="1">
      <c r="A27" s="10"/>
      <c r="B27" s="10"/>
      <c r="C27" s="10"/>
      <c r="D27" s="10"/>
      <c r="E27" s="10"/>
      <c r="F27" s="10"/>
      <c r="G27" s="10"/>
      <c r="H27" s="10"/>
      <c r="I27" s="10"/>
      <c r="J27" s="10"/>
      <c r="K27" s="10"/>
      <c r="L27" s="10"/>
      <c r="M27" s="17"/>
      <c r="N27" s="18"/>
      <c r="O27" s="16"/>
      <c r="P27" s="19">
        <v>44794</v>
      </c>
      <c r="Q27" s="25">
        <v>2.63</v>
      </c>
      <c r="R27" s="10"/>
      <c r="S27" s="19">
        <f>P27</f>
        <v>44794</v>
      </c>
      <c r="T27" s="25">
        <f>(S27-N26)/360*$U$26*$K$26</f>
        <v>2.63</v>
      </c>
      <c r="U27" s="25">
        <f>T27-Q27</f>
        <v>0</v>
      </c>
      <c r="V27" s="18"/>
      <c r="W27" s="10"/>
      <c r="X27" s="10"/>
      <c r="Y27" s="29">
        <f>ROUNDUP((V27-N26)*K26*X26/365,2)</f>
        <v>-1839.74</v>
      </c>
      <c r="Z27" s="10"/>
      <c r="AA27" s="10"/>
      <c r="AB27" s="10"/>
    </row>
    <row r="28" spans="1:30" s="2" customFormat="1">
      <c r="A28" s="10"/>
      <c r="B28" s="10"/>
      <c r="C28" s="10"/>
      <c r="D28" s="10"/>
      <c r="E28" s="10"/>
      <c r="F28" s="10"/>
      <c r="G28" s="10"/>
      <c r="H28" s="10"/>
      <c r="I28" s="10"/>
      <c r="J28" s="10"/>
      <c r="K28" s="10"/>
      <c r="L28" s="10"/>
      <c r="M28" s="17"/>
      <c r="N28" s="18"/>
      <c r="O28" s="18"/>
      <c r="P28" s="19">
        <v>44825</v>
      </c>
      <c r="Q28" s="25">
        <v>3.01</v>
      </c>
      <c r="R28" s="10"/>
      <c r="S28" s="19">
        <f t="shared" ref="S28:S36" si="4">P28</f>
        <v>44825</v>
      </c>
      <c r="T28" s="25">
        <f>(S28-S27)*$U$26*$K$26/360</f>
        <v>3.01</v>
      </c>
      <c r="U28" s="25">
        <f t="shared" ref="U28:U36" si="5">T28-Q28</f>
        <v>0</v>
      </c>
      <c r="V28" s="10"/>
      <c r="W28" s="10"/>
      <c r="X28" s="10"/>
      <c r="Y28" s="29">
        <f>ROUNDUP((O26-V27+1)*(K26-W27)*X26/365,2)</f>
        <v>1854.79</v>
      </c>
      <c r="Z28" s="10"/>
      <c r="AA28" s="10"/>
      <c r="AB28" s="10"/>
    </row>
    <row r="29" spans="1:30" s="2" customFormat="1">
      <c r="A29" s="10"/>
      <c r="B29" s="10"/>
      <c r="C29" s="10"/>
      <c r="D29" s="10"/>
      <c r="E29" s="10"/>
      <c r="F29" s="10"/>
      <c r="G29" s="10"/>
      <c r="H29" s="10"/>
      <c r="I29" s="10"/>
      <c r="J29" s="10"/>
      <c r="K29" s="10"/>
      <c r="L29" s="10"/>
      <c r="M29" s="17"/>
      <c r="N29" s="18"/>
      <c r="O29" s="18"/>
      <c r="P29" s="19">
        <v>44855</v>
      </c>
      <c r="Q29" s="25">
        <v>2.92</v>
      </c>
      <c r="R29" s="10"/>
      <c r="S29" s="19">
        <f t="shared" si="4"/>
        <v>44855</v>
      </c>
      <c r="T29" s="25">
        <f t="shared" ref="T29:T36" si="6">(S29-S28)*$U$26*$K$26/360</f>
        <v>2.92</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44886</v>
      </c>
      <c r="Q30" s="25">
        <v>3.01</v>
      </c>
      <c r="R30" s="10"/>
      <c r="S30" s="19">
        <f t="shared" si="4"/>
        <v>44886</v>
      </c>
      <c r="T30" s="25">
        <f t="shared" si="6"/>
        <v>3.01</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44916</v>
      </c>
      <c r="Q31" s="25">
        <v>2.92</v>
      </c>
      <c r="R31" s="10"/>
      <c r="S31" s="19">
        <f t="shared" si="4"/>
        <v>44916</v>
      </c>
      <c r="T31" s="25">
        <f t="shared" si="6"/>
        <v>2.92</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44947</v>
      </c>
      <c r="Q32" s="25">
        <v>3.01</v>
      </c>
      <c r="R32" s="10"/>
      <c r="S32" s="19">
        <f t="shared" si="4"/>
        <v>44947</v>
      </c>
      <c r="T32" s="25">
        <f t="shared" si="6"/>
        <v>3.01</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44978</v>
      </c>
      <c r="Q33" s="25">
        <v>3.01</v>
      </c>
      <c r="R33" s="10"/>
      <c r="S33" s="19">
        <f t="shared" si="4"/>
        <v>44978</v>
      </c>
      <c r="T33" s="25">
        <f t="shared" si="6"/>
        <v>3.01</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45006</v>
      </c>
      <c r="Q34" s="25">
        <v>2.72</v>
      </c>
      <c r="R34" s="10"/>
      <c r="S34" s="19">
        <f t="shared" si="4"/>
        <v>45006</v>
      </c>
      <c r="T34" s="25">
        <f t="shared" si="6"/>
        <v>2.72</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45037</v>
      </c>
      <c r="Q35" s="25">
        <v>3.01</v>
      </c>
      <c r="R35" s="10"/>
      <c r="S35" s="19">
        <f t="shared" si="4"/>
        <v>45037</v>
      </c>
      <c r="T35" s="25">
        <f t="shared" si="6"/>
        <v>3.01</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45067</v>
      </c>
      <c r="Q36" s="25">
        <v>2.92</v>
      </c>
      <c r="R36" s="10"/>
      <c r="S36" s="19">
        <f t="shared" si="4"/>
        <v>45067</v>
      </c>
      <c r="T36" s="25">
        <f t="shared" si="6"/>
        <v>2.92</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45098</v>
      </c>
      <c r="Q37" s="25">
        <v>3.01</v>
      </c>
      <c r="R37" s="10"/>
      <c r="S37" s="19">
        <f t="shared" ref="S37:S38" si="7">P37</f>
        <v>45098</v>
      </c>
      <c r="T37" s="25">
        <f t="shared" ref="T37:T38" si="8">(S37-S36)*$U$26*$K$26/360</f>
        <v>3.01</v>
      </c>
      <c r="U37" s="25">
        <f t="shared" ref="U37:U38" si="9">T37-Q37</f>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45128</v>
      </c>
      <c r="Q38" s="25">
        <v>2.9</v>
      </c>
      <c r="R38" s="10"/>
      <c r="S38" s="19">
        <f t="shared" si="7"/>
        <v>45128</v>
      </c>
      <c r="T38" s="25">
        <f t="shared" si="8"/>
        <v>2.92</v>
      </c>
      <c r="U38" s="25">
        <f t="shared" si="9"/>
        <v>0.02</v>
      </c>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成都邦普切削刀具股份有限公司</v>
      </c>
      <c r="C48" s="9" t="str">
        <f t="shared" ref="C48:G48" si="10">C26</f>
        <v>成都高新区</v>
      </c>
      <c r="D48" s="9" t="str">
        <f t="shared" si="10"/>
        <v>91510100725362949Q</v>
      </c>
      <c r="E48" s="9" t="str">
        <f t="shared" si="10"/>
        <v>私营股份有限公司</v>
      </c>
      <c r="F48" s="9" t="str">
        <f t="shared" si="10"/>
        <v>国家税务总局成都高新技术产业开发区税务局第二税务所</v>
      </c>
      <c r="G48" s="9" t="str">
        <f t="shared" si="10"/>
        <v>51001416108059450025建行成都市第一支行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1">P50</f>
        <v>0</v>
      </c>
      <c r="T50" s="25">
        <f>(S50-S49)*$U$48*$K$48/360</f>
        <v>0</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成都邦普切削刀具股份有限公司</v>
      </c>
      <c r="C70" s="9" t="str">
        <f t="shared" ref="C70:G70" si="13">C48</f>
        <v>成都高新区</v>
      </c>
      <c r="D70" s="9" t="str">
        <f t="shared" si="13"/>
        <v>91510100725362949Q</v>
      </c>
      <c r="E70" s="9" t="str">
        <f t="shared" si="13"/>
        <v>私营股份有限公司</v>
      </c>
      <c r="F70" s="9" t="str">
        <f t="shared" si="13"/>
        <v>国家税务总局成都高新技术产业开发区税务局第二税务所</v>
      </c>
      <c r="G70" s="9" t="str">
        <f t="shared" si="13"/>
        <v>51001416108059450025建行成都市第一支行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成都邦普切削刀具股份有限公司</v>
      </c>
      <c r="C92" s="9" t="str">
        <f t="shared" ref="C92:G92" si="14">C70</f>
        <v>成都高新区</v>
      </c>
      <c r="D92" s="9" t="str">
        <f t="shared" si="14"/>
        <v>91510100725362949Q</v>
      </c>
      <c r="E92" s="9" t="str">
        <f t="shared" si="14"/>
        <v>私营股份有限公司</v>
      </c>
      <c r="F92" s="9" t="str">
        <f t="shared" si="14"/>
        <v>国家税务总局成都高新技术产业开发区税务局第二税务所</v>
      </c>
      <c r="G92" s="9" t="str">
        <f t="shared" si="14"/>
        <v>51001416108059450025建行成都市第一支行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1999</v>
      </c>
      <c r="L114" s="9"/>
      <c r="M114" s="20"/>
      <c r="N114" s="16"/>
      <c r="O114" s="16"/>
      <c r="P114" s="9"/>
      <c r="Q114" s="9"/>
      <c r="R114" s="22">
        <f>R92+R70+R48+R26+R4</f>
        <v>30.15</v>
      </c>
      <c r="S114" s="9"/>
      <c r="T114" s="9"/>
      <c r="U114" s="9"/>
      <c r="V114" s="9"/>
      <c r="W114" s="9"/>
      <c r="X114" s="9"/>
      <c r="Y114" s="9">
        <f>Y92+Y70+Y48+Y26++Y4</f>
        <v>30.03</v>
      </c>
      <c r="Z114" s="9"/>
      <c r="AA114" s="9"/>
      <c r="AB114" s="9"/>
    </row>
    <row r="115" spans="1:28">
      <c r="I115" t="s">
        <v>49</v>
      </c>
      <c r="K115">
        <f>IF(K114&gt;3000,K116,K114)</f>
        <v>1999</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16"/>
  <sheetViews>
    <sheetView topLeftCell="G1" zoomScale="70" zoomScaleNormal="70" workbookViewId="0">
      <pane ySplit="3" topLeftCell="A7"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成都恒成工具股份有限公司审计明细表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88</v>
      </c>
      <c r="C4" s="9" t="s">
        <v>52</v>
      </c>
      <c r="D4" s="9" t="s">
        <v>89</v>
      </c>
      <c r="E4" s="9" t="s">
        <v>90</v>
      </c>
      <c r="F4" s="9" t="s">
        <v>91</v>
      </c>
      <c r="G4" s="9" t="s">
        <v>92</v>
      </c>
      <c r="H4" s="9" t="s">
        <v>71</v>
      </c>
      <c r="I4" s="9" t="s">
        <v>93</v>
      </c>
      <c r="J4" s="9">
        <v>24</v>
      </c>
      <c r="K4" s="9">
        <v>1000</v>
      </c>
      <c r="L4" s="9" t="s">
        <v>94</v>
      </c>
      <c r="M4" s="20" t="s">
        <v>95</v>
      </c>
      <c r="N4" s="16">
        <v>45105</v>
      </c>
      <c r="O4" s="16">
        <v>45291</v>
      </c>
      <c r="P4" s="9">
        <f>P11-N4</f>
        <v>206</v>
      </c>
      <c r="Q4" s="22">
        <f>SUM(Q5:Q25)</f>
        <v>24.5</v>
      </c>
      <c r="R4" s="22">
        <v>7.68</v>
      </c>
      <c r="S4" s="9"/>
      <c r="T4" s="22">
        <f>SUM(T5:T25)</f>
        <v>24.59</v>
      </c>
      <c r="U4" s="23">
        <v>4.2999999999999997E-2</v>
      </c>
      <c r="V4" s="16"/>
      <c r="W4" s="9" t="s">
        <v>42</v>
      </c>
      <c r="X4" s="24">
        <v>1.4999999999999999E-2</v>
      </c>
      <c r="Y4" s="9">
        <f>ROUNDDOWN(IF((O4-N4+1)*K4*X4/365&gt;R4,R4,(O4-N4+1)*K4*X4/365),2)</f>
        <v>7.68</v>
      </c>
      <c r="Z4" s="22">
        <f>R4-Y4</f>
        <v>0</v>
      </c>
      <c r="AA4" s="22"/>
      <c r="AB4" s="9" t="s">
        <v>61</v>
      </c>
      <c r="AD4" s="28">
        <f>(O4-N4+1)*K4*X4/365</f>
        <v>7.6848999999999998</v>
      </c>
    </row>
    <row r="5" spans="1:30" s="2" customFormat="1">
      <c r="A5" s="10"/>
      <c r="B5" s="10"/>
      <c r="C5" s="10"/>
      <c r="D5" s="10"/>
      <c r="E5" s="10"/>
      <c r="F5" s="10"/>
      <c r="G5" s="10"/>
      <c r="H5" s="10"/>
      <c r="I5" s="10"/>
      <c r="J5" s="10"/>
      <c r="K5" s="10"/>
      <c r="L5" s="10"/>
      <c r="M5" s="17"/>
      <c r="N5" s="18"/>
      <c r="O5" s="16">
        <v>45827</v>
      </c>
      <c r="P5" s="19">
        <v>45127</v>
      </c>
      <c r="Q5" s="25">
        <v>2.63</v>
      </c>
      <c r="R5" s="10"/>
      <c r="S5" s="19">
        <f>P5</f>
        <v>45127</v>
      </c>
      <c r="T5" s="25">
        <f>(S5-N4)/360*$U$4*$K$4</f>
        <v>2.63</v>
      </c>
      <c r="U5" s="25">
        <f>T5-Q5</f>
        <v>0</v>
      </c>
      <c r="V5" s="18"/>
      <c r="W5" s="10"/>
      <c r="X5" s="10"/>
      <c r="Y5" s="10">
        <f>ROUNDDOWN((V5-N4)*K4*X4/365,2)</f>
        <v>-1853.63</v>
      </c>
      <c r="Z5" s="10"/>
      <c r="AA5" s="10"/>
      <c r="AB5" s="10"/>
    </row>
    <row r="6" spans="1:30" s="2" customFormat="1">
      <c r="A6" s="10"/>
      <c r="B6" s="10"/>
      <c r="C6" s="10"/>
      <c r="D6" s="10"/>
      <c r="E6" s="10"/>
      <c r="F6" s="10"/>
      <c r="G6" s="10"/>
      <c r="H6" s="10"/>
      <c r="I6" s="10"/>
      <c r="J6" s="10"/>
      <c r="K6" s="10"/>
      <c r="L6" s="10"/>
      <c r="M6" s="17"/>
      <c r="N6" s="18"/>
      <c r="O6" s="18"/>
      <c r="P6" s="19">
        <v>45158</v>
      </c>
      <c r="Q6" s="25">
        <v>3.7</v>
      </c>
      <c r="R6" s="10"/>
      <c r="S6" s="19">
        <f t="shared" ref="S6:S11" si="0">P6</f>
        <v>45158</v>
      </c>
      <c r="T6" s="25">
        <f>(S6-S5)*$K$4*$U$4/360</f>
        <v>3.7</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45189</v>
      </c>
      <c r="Q7" s="25">
        <v>3.7</v>
      </c>
      <c r="R7" s="10"/>
      <c r="S7" s="19">
        <f t="shared" si="0"/>
        <v>45189</v>
      </c>
      <c r="T7" s="25">
        <f t="shared" ref="T7:T11" si="1">(S7-S6)*$K$4*$U$4/360</f>
        <v>3.7</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45219</v>
      </c>
      <c r="Q8" s="25">
        <v>3.58</v>
      </c>
      <c r="R8" s="10"/>
      <c r="S8" s="19">
        <f t="shared" si="0"/>
        <v>45219</v>
      </c>
      <c r="T8" s="25">
        <f t="shared" si="1"/>
        <v>3.58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45250</v>
      </c>
      <c r="Q9" s="25">
        <v>3.7</v>
      </c>
      <c r="R9" s="10"/>
      <c r="S9" s="19">
        <f t="shared" si="0"/>
        <v>45250</v>
      </c>
      <c r="T9" s="25">
        <f t="shared" si="1"/>
        <v>3.7</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45280</v>
      </c>
      <c r="Q10" s="25">
        <v>3.58</v>
      </c>
      <c r="R10" s="10"/>
      <c r="S10" s="19">
        <f t="shared" si="0"/>
        <v>45280</v>
      </c>
      <c r="T10" s="25">
        <f t="shared" si="1"/>
        <v>3.58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45311</v>
      </c>
      <c r="Q11" s="25">
        <v>3.61</v>
      </c>
      <c r="R11" s="10"/>
      <c r="S11" s="19">
        <f t="shared" si="0"/>
        <v>45311</v>
      </c>
      <c r="T11" s="25">
        <f t="shared" si="1"/>
        <v>3.7</v>
      </c>
      <c r="U11" s="25">
        <f t="shared" si="2"/>
        <v>0.09</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customHeight="1">
      <c r="A26" s="9">
        <v>2</v>
      </c>
      <c r="B26" s="9" t="str">
        <f>B4</f>
        <v>成都恒成工具股份有限公司</v>
      </c>
      <c r="C26" s="9" t="str">
        <f t="shared" ref="C26:G26" si="3">C4</f>
        <v>成都市市场监督管理局</v>
      </c>
      <c r="D26" s="9" t="str">
        <f t="shared" si="3"/>
        <v>91510100720333057H</v>
      </c>
      <c r="E26" s="9" t="str">
        <f t="shared" si="3"/>
        <v>其他股份有限公司</v>
      </c>
      <c r="F26" s="9" t="str">
        <f t="shared" si="3"/>
        <v>成都市高新区税务局</v>
      </c>
      <c r="G26" s="9" t="str">
        <f t="shared" si="3"/>
        <v>中国建设银行成都益州支行51001416181059000011</v>
      </c>
      <c r="H26" s="9" t="s">
        <v>71</v>
      </c>
      <c r="I26" s="9" t="s">
        <v>93</v>
      </c>
      <c r="J26" s="9">
        <v>24</v>
      </c>
      <c r="K26" s="9">
        <v>1000</v>
      </c>
      <c r="L26" s="9" t="s">
        <v>96</v>
      </c>
      <c r="M26" s="20" t="s">
        <v>97</v>
      </c>
      <c r="N26" s="16">
        <v>45105</v>
      </c>
      <c r="O26" s="16">
        <v>45291</v>
      </c>
      <c r="P26" s="9">
        <f>P33-N26</f>
        <v>206</v>
      </c>
      <c r="Q26" s="22">
        <f>SUM(Q27:Q47)</f>
        <v>24.5</v>
      </c>
      <c r="R26" s="22">
        <v>7.68</v>
      </c>
      <c r="S26" s="9"/>
      <c r="T26" s="9">
        <f>SUM(T27:T47)</f>
        <v>24.59</v>
      </c>
      <c r="U26" s="23">
        <v>4.2999999999999997E-2</v>
      </c>
      <c r="V26" s="16"/>
      <c r="W26" s="9" t="s">
        <v>42</v>
      </c>
      <c r="X26" s="24">
        <v>1.4999999999999999E-2</v>
      </c>
      <c r="Y26" s="9">
        <f>ROUNDDOWN(IF((O26-N26+1)*K26*X26/365&gt;R26,R26,(O26-N26+1)*K26*X26/365),2)</f>
        <v>7.68</v>
      </c>
      <c r="Z26" s="9">
        <f>R26-Y26</f>
        <v>0</v>
      </c>
      <c r="AA26" s="9"/>
      <c r="AB26" s="9" t="s">
        <v>61</v>
      </c>
      <c r="AD26" s="1">
        <f>(O26-N26+1)*K26*X26/365</f>
        <v>7.6849315068493196</v>
      </c>
    </row>
    <row r="27" spans="1:30" s="2" customFormat="1">
      <c r="A27" s="10"/>
      <c r="B27" s="10"/>
      <c r="C27" s="10"/>
      <c r="D27" s="10"/>
      <c r="E27" s="10"/>
      <c r="F27" s="10"/>
      <c r="G27" s="10"/>
      <c r="H27" s="10"/>
      <c r="I27" s="10"/>
      <c r="J27" s="10"/>
      <c r="K27" s="10"/>
      <c r="L27" s="10"/>
      <c r="M27" s="17"/>
      <c r="N27" s="18"/>
      <c r="O27" s="16">
        <v>45827</v>
      </c>
      <c r="P27" s="19">
        <v>45127</v>
      </c>
      <c r="Q27" s="25">
        <v>2.63</v>
      </c>
      <c r="R27" s="10"/>
      <c r="S27" s="19">
        <f>P27</f>
        <v>45127</v>
      </c>
      <c r="T27" s="25">
        <f>(S27-N26)/360*$U$26*$K$26</f>
        <v>2.63</v>
      </c>
      <c r="U27" s="25">
        <f>T27-Q27</f>
        <v>0</v>
      </c>
      <c r="V27" s="18"/>
      <c r="W27" s="10"/>
      <c r="X27" s="10"/>
      <c r="Y27" s="29">
        <f>ROUNDUP((V27-N26)*K26*X26/365,2)</f>
        <v>-1853.64</v>
      </c>
      <c r="Z27" s="10"/>
      <c r="AA27" s="10"/>
      <c r="AB27" s="10"/>
    </row>
    <row r="28" spans="1:30" s="2" customFormat="1">
      <c r="A28" s="10"/>
      <c r="B28" s="10"/>
      <c r="C28" s="10"/>
      <c r="D28" s="10"/>
      <c r="E28" s="10"/>
      <c r="F28" s="10"/>
      <c r="G28" s="10"/>
      <c r="H28" s="10"/>
      <c r="I28" s="10"/>
      <c r="J28" s="10"/>
      <c r="K28" s="10"/>
      <c r="L28" s="10"/>
      <c r="M28" s="17"/>
      <c r="N28" s="18"/>
      <c r="O28" s="18"/>
      <c r="P28" s="19">
        <v>45158</v>
      </c>
      <c r="Q28" s="25">
        <v>3.7</v>
      </c>
      <c r="R28" s="10"/>
      <c r="S28" s="19">
        <f t="shared" ref="S28:S33" si="4">P28</f>
        <v>45158</v>
      </c>
      <c r="T28" s="25">
        <f>(S28-S27)*$U$26*$K$26/360</f>
        <v>3.7</v>
      </c>
      <c r="U28" s="25">
        <f t="shared" ref="U28:U33" si="5">T28-Q28</f>
        <v>0</v>
      </c>
      <c r="V28" s="10"/>
      <c r="W28" s="10"/>
      <c r="X28" s="10"/>
      <c r="Y28" s="29">
        <f>ROUNDUP((O26-V27+1)*(K26-W27)*X26/365,2)</f>
        <v>1861.32</v>
      </c>
      <c r="Z28" s="10"/>
      <c r="AA28" s="10"/>
      <c r="AB28" s="10"/>
    </row>
    <row r="29" spans="1:30" s="2" customFormat="1">
      <c r="A29" s="10"/>
      <c r="B29" s="10"/>
      <c r="C29" s="10"/>
      <c r="D29" s="10"/>
      <c r="E29" s="10"/>
      <c r="F29" s="10"/>
      <c r="G29" s="10"/>
      <c r="H29" s="10"/>
      <c r="I29" s="10"/>
      <c r="J29" s="10"/>
      <c r="K29" s="10"/>
      <c r="L29" s="10"/>
      <c r="M29" s="17"/>
      <c r="N29" s="18"/>
      <c r="O29" s="18"/>
      <c r="P29" s="19">
        <v>45189</v>
      </c>
      <c r="Q29" s="25">
        <v>3.7</v>
      </c>
      <c r="R29" s="10"/>
      <c r="S29" s="19">
        <f t="shared" si="4"/>
        <v>45189</v>
      </c>
      <c r="T29" s="25">
        <f t="shared" ref="T29:T33" si="6">(S29-S28)*$U$26*$K$26/360</f>
        <v>3.7</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45219</v>
      </c>
      <c r="Q30" s="25">
        <v>3.58</v>
      </c>
      <c r="R30" s="10"/>
      <c r="S30" s="19">
        <f t="shared" si="4"/>
        <v>45219</v>
      </c>
      <c r="T30" s="25">
        <f t="shared" si="6"/>
        <v>3.58</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45250</v>
      </c>
      <c r="Q31" s="25">
        <v>3.7</v>
      </c>
      <c r="R31" s="10"/>
      <c r="S31" s="19">
        <f t="shared" si="4"/>
        <v>45250</v>
      </c>
      <c r="T31" s="25">
        <f t="shared" si="6"/>
        <v>3.7</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45280</v>
      </c>
      <c r="Q32" s="25">
        <v>3.58</v>
      </c>
      <c r="R32" s="10"/>
      <c r="S32" s="19">
        <f t="shared" si="4"/>
        <v>45280</v>
      </c>
      <c r="T32" s="25">
        <f t="shared" si="6"/>
        <v>3.58</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45311</v>
      </c>
      <c r="Q33" s="25">
        <v>3.61</v>
      </c>
      <c r="R33" s="10"/>
      <c r="S33" s="19">
        <f t="shared" si="4"/>
        <v>45311</v>
      </c>
      <c r="T33" s="25">
        <f t="shared" si="6"/>
        <v>3.7</v>
      </c>
      <c r="U33" s="25">
        <f t="shared" si="5"/>
        <v>0.09</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成都恒成工具股份有限公司</v>
      </c>
      <c r="C48" s="9" t="str">
        <f t="shared" ref="C48:G48" si="7">C26</f>
        <v>成都市市场监督管理局</v>
      </c>
      <c r="D48" s="9" t="str">
        <f t="shared" si="7"/>
        <v>91510100720333057H</v>
      </c>
      <c r="E48" s="9" t="str">
        <f t="shared" si="7"/>
        <v>其他股份有限公司</v>
      </c>
      <c r="F48" s="9" t="str">
        <f t="shared" si="7"/>
        <v>成都市高新区税务局</v>
      </c>
      <c r="G48" s="9" t="str">
        <f t="shared" si="7"/>
        <v>中国建设银行成都益州支行51001416181059000011</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成都恒成工具股份有限公司</v>
      </c>
      <c r="C70" s="9" t="str">
        <f t="shared" ref="C70:G70" si="10">C48</f>
        <v>成都市市场监督管理局</v>
      </c>
      <c r="D70" s="9" t="str">
        <f t="shared" si="10"/>
        <v>91510100720333057H</v>
      </c>
      <c r="E70" s="9" t="str">
        <f t="shared" si="10"/>
        <v>其他股份有限公司</v>
      </c>
      <c r="F70" s="9" t="str">
        <f t="shared" si="10"/>
        <v>成都市高新区税务局</v>
      </c>
      <c r="G70" s="9" t="str">
        <f t="shared" si="10"/>
        <v>中国建设银行成都益州支行51001416181059000011</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成都恒成工具股份有限公司</v>
      </c>
      <c r="C92" s="9" t="str">
        <f t="shared" ref="C92:G92" si="11">C70</f>
        <v>成都市市场监督管理局</v>
      </c>
      <c r="D92" s="9" t="str">
        <f t="shared" si="11"/>
        <v>91510100720333057H</v>
      </c>
      <c r="E92" s="9" t="str">
        <f t="shared" si="11"/>
        <v>其他股份有限公司</v>
      </c>
      <c r="F92" s="9" t="str">
        <f t="shared" si="11"/>
        <v>成都市高新区税务局</v>
      </c>
      <c r="G92" s="9" t="str">
        <f t="shared" si="11"/>
        <v>中国建设银行成都益州支行51001416181059000011</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15.36</v>
      </c>
      <c r="S114" s="9"/>
      <c r="T114" s="9"/>
      <c r="U114" s="9"/>
      <c r="V114" s="9"/>
      <c r="W114" s="9"/>
      <c r="X114" s="9"/>
      <c r="Y114" s="9">
        <f>Y92+Y70+Y48+Y26++Y4</f>
        <v>15.36</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116"/>
  <sheetViews>
    <sheetView topLeftCell="K1" zoomScale="60" zoomScaleNormal="60" workbookViewId="0">
      <pane ySplit="3" topLeftCell="A4" activePane="bottomLeft" state="frozen"/>
      <selection pane="bottomLeft" activeCell="AE9" sqref="AE9"/>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成都飞机工业集团电子科技有限公司审计明细表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486</v>
      </c>
      <c r="C4" s="9" t="s">
        <v>487</v>
      </c>
      <c r="D4" s="9" t="s">
        <v>488</v>
      </c>
      <c r="E4" s="9" t="s">
        <v>489</v>
      </c>
      <c r="F4" s="9" t="s">
        <v>403</v>
      </c>
      <c r="G4" s="9" t="s">
        <v>490</v>
      </c>
      <c r="H4" s="9" t="s">
        <v>156</v>
      </c>
      <c r="I4" s="9" t="s">
        <v>72</v>
      </c>
      <c r="J4" s="9" t="s">
        <v>58</v>
      </c>
      <c r="K4" s="9">
        <v>2000</v>
      </c>
      <c r="L4" s="9" t="s">
        <v>491</v>
      </c>
      <c r="M4" s="20" t="s">
        <v>492</v>
      </c>
      <c r="N4" s="16">
        <v>44865</v>
      </c>
      <c r="O4" s="16">
        <v>45218</v>
      </c>
      <c r="P4" s="9">
        <f>P16-N4</f>
        <v>353</v>
      </c>
      <c r="Q4" s="22">
        <f>SUM(Q5:Q25)</f>
        <v>85.28</v>
      </c>
      <c r="R4" s="22">
        <v>40</v>
      </c>
      <c r="S4" s="9"/>
      <c r="T4" s="22">
        <f>SUM(T5:T25)</f>
        <v>85.31</v>
      </c>
      <c r="U4" s="23">
        <v>4.3499999999999997E-2</v>
      </c>
      <c r="V4" s="16"/>
      <c r="W4" s="9" t="s">
        <v>493</v>
      </c>
      <c r="X4" s="24">
        <v>0.02</v>
      </c>
      <c r="Y4" s="9">
        <f>ROUNDDOWN(IF((O4-N4+1)*K4*X4/365&gt;R4,R4,(O4-N4+1)*K4*X4/365),2)</f>
        <v>38.79</v>
      </c>
      <c r="Z4" s="22">
        <f>R4-Y4</f>
        <v>1.21</v>
      </c>
      <c r="AA4" s="22" t="s">
        <v>108</v>
      </c>
      <c r="AB4" s="9" t="s">
        <v>61</v>
      </c>
      <c r="AD4" s="28">
        <f>(O4-N4+1)*K4*X4/365</f>
        <v>38.794499999999999</v>
      </c>
    </row>
    <row r="5" spans="1:30" s="2" customFormat="1">
      <c r="A5" s="10"/>
      <c r="B5" s="10"/>
      <c r="C5" s="10"/>
      <c r="D5" s="10"/>
      <c r="E5" s="10"/>
      <c r="F5" s="10"/>
      <c r="G5" s="10"/>
      <c r="H5" s="10"/>
      <c r="I5" s="10"/>
      <c r="J5" s="10"/>
      <c r="K5" s="10"/>
      <c r="L5" s="10"/>
      <c r="M5" s="17"/>
      <c r="N5" s="18"/>
      <c r="O5" s="18"/>
      <c r="P5" s="19">
        <v>44886</v>
      </c>
      <c r="Q5" s="25">
        <v>5.07</v>
      </c>
      <c r="R5" s="10"/>
      <c r="S5" s="19">
        <f>P5</f>
        <v>44886</v>
      </c>
      <c r="T5" s="25">
        <f>(S5-N4)/360*$U$4*$K$4</f>
        <v>5.08</v>
      </c>
      <c r="U5" s="25">
        <f>T5-Q5</f>
        <v>0.01</v>
      </c>
      <c r="V5" s="18">
        <v>45218</v>
      </c>
      <c r="W5" s="10">
        <v>2000</v>
      </c>
      <c r="X5" s="10"/>
      <c r="Y5" s="10">
        <f>ROUNDDOWN((V5-N4)*K4*X4/365,2)</f>
        <v>38.68</v>
      </c>
      <c r="Z5" s="10"/>
      <c r="AA5" s="10"/>
      <c r="AB5" s="10"/>
    </row>
    <row r="6" spans="1:30" s="2" customFormat="1">
      <c r="A6" s="10"/>
      <c r="B6" s="10"/>
      <c r="C6" s="10"/>
      <c r="D6" s="10"/>
      <c r="E6" s="10"/>
      <c r="F6" s="10"/>
      <c r="G6" s="10"/>
      <c r="H6" s="10"/>
      <c r="I6" s="10"/>
      <c r="J6" s="10"/>
      <c r="K6" s="10"/>
      <c r="L6" s="10"/>
      <c r="M6" s="17"/>
      <c r="N6" s="18"/>
      <c r="O6" s="18"/>
      <c r="P6" s="19">
        <v>44916</v>
      </c>
      <c r="Q6" s="25">
        <v>7.25</v>
      </c>
      <c r="R6" s="10"/>
      <c r="S6" s="19">
        <f t="shared" ref="S6:S16" si="0">P6</f>
        <v>44916</v>
      </c>
      <c r="T6" s="25">
        <f>(S6-S5)*$K$4*$U$4/360</f>
        <v>7.25</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44947</v>
      </c>
      <c r="Q7" s="25">
        <v>7.49</v>
      </c>
      <c r="R7" s="10"/>
      <c r="S7" s="19">
        <f t="shared" si="0"/>
        <v>44947</v>
      </c>
      <c r="T7" s="25">
        <f t="shared" ref="T7:T16" si="1">(S7-S6)*$K$4*$U$4/360</f>
        <v>7.49</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44978</v>
      </c>
      <c r="Q8" s="25">
        <v>7.49</v>
      </c>
      <c r="R8" s="10"/>
      <c r="S8" s="19">
        <f t="shared" si="0"/>
        <v>44978</v>
      </c>
      <c r="T8" s="25">
        <f t="shared" si="1"/>
        <v>7.49</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45006</v>
      </c>
      <c r="Q9" s="25">
        <v>6.76</v>
      </c>
      <c r="R9" s="10"/>
      <c r="S9" s="19">
        <f t="shared" si="0"/>
        <v>45006</v>
      </c>
      <c r="T9" s="25">
        <f t="shared" si="1"/>
        <v>6.77</v>
      </c>
      <c r="U9" s="25">
        <f t="shared" si="2"/>
        <v>0.01</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45037</v>
      </c>
      <c r="Q10" s="25">
        <v>7.49</v>
      </c>
      <c r="R10" s="10"/>
      <c r="S10" s="19">
        <f t="shared" si="0"/>
        <v>45037</v>
      </c>
      <c r="T10" s="25">
        <f t="shared" si="1"/>
        <v>7.49</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45067</v>
      </c>
      <c r="Q11" s="25">
        <v>7.25</v>
      </c>
      <c r="R11" s="10"/>
      <c r="S11" s="19">
        <f t="shared" si="0"/>
        <v>45067</v>
      </c>
      <c r="T11" s="25">
        <f t="shared" si="1"/>
        <v>7.25</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45098</v>
      </c>
      <c r="Q12" s="25">
        <v>7.49</v>
      </c>
      <c r="R12" s="10"/>
      <c r="S12" s="19">
        <f t="shared" si="0"/>
        <v>45098</v>
      </c>
      <c r="T12" s="25">
        <f t="shared" si="1"/>
        <v>7.49</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45128</v>
      </c>
      <c r="Q13" s="25">
        <v>7.25</v>
      </c>
      <c r="R13" s="10"/>
      <c r="S13" s="19">
        <f t="shared" si="0"/>
        <v>45128</v>
      </c>
      <c r="T13" s="25">
        <f t="shared" si="1"/>
        <v>7.25</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45159</v>
      </c>
      <c r="Q14" s="25">
        <v>7.49</v>
      </c>
      <c r="R14" s="10"/>
      <c r="S14" s="19">
        <f t="shared" si="0"/>
        <v>45159</v>
      </c>
      <c r="T14" s="25">
        <f t="shared" si="1"/>
        <v>7.49</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45190</v>
      </c>
      <c r="Q15" s="25">
        <v>7.49</v>
      </c>
      <c r="R15" s="10"/>
      <c r="S15" s="19">
        <f t="shared" si="0"/>
        <v>45190</v>
      </c>
      <c r="T15" s="25">
        <f t="shared" si="1"/>
        <v>7.49</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45218</v>
      </c>
      <c r="Q16" s="25">
        <v>6.76</v>
      </c>
      <c r="R16" s="10"/>
      <c r="S16" s="19">
        <f t="shared" si="0"/>
        <v>45218</v>
      </c>
      <c r="T16" s="25">
        <f t="shared" si="1"/>
        <v>6.77</v>
      </c>
      <c r="U16" s="25">
        <f t="shared" si="2"/>
        <v>0.01</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成都飞机工业集团电子科技有限公司</v>
      </c>
      <c r="C26" s="9" t="str">
        <f t="shared" ref="C26:G26" si="3">C4</f>
        <v>成都市工商局</v>
      </c>
      <c r="D26" s="9" t="str">
        <f t="shared" si="3"/>
        <v>91510100758783256J</v>
      </c>
      <c r="E26" s="9" t="str">
        <f t="shared" si="3"/>
        <v>国有参股</v>
      </c>
      <c r="F26" s="9" t="str">
        <f t="shared" si="3"/>
        <v>成都市高新区</v>
      </c>
      <c r="G26" s="9" t="str">
        <f t="shared" si="3"/>
        <v>成都工商银行黄田坝分理处 4402219009100009913</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成都飞机工业集团电子科技有限公司</v>
      </c>
      <c r="C48" s="9" t="str">
        <f t="shared" ref="C48:G48" si="7">C26</f>
        <v>成都市工商局</v>
      </c>
      <c r="D48" s="9" t="str">
        <f t="shared" si="7"/>
        <v>91510100758783256J</v>
      </c>
      <c r="E48" s="9" t="str">
        <f t="shared" si="7"/>
        <v>国有参股</v>
      </c>
      <c r="F48" s="9" t="str">
        <f t="shared" si="7"/>
        <v>成都市高新区</v>
      </c>
      <c r="G48" s="9" t="str">
        <f t="shared" si="7"/>
        <v>成都工商银行黄田坝分理处 4402219009100009913</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成都飞机工业集团电子科技有限公司</v>
      </c>
      <c r="C70" s="9" t="str">
        <f t="shared" ref="C70:G70" si="10">C48</f>
        <v>成都市工商局</v>
      </c>
      <c r="D70" s="9" t="str">
        <f t="shared" si="10"/>
        <v>91510100758783256J</v>
      </c>
      <c r="E70" s="9" t="str">
        <f t="shared" si="10"/>
        <v>国有参股</v>
      </c>
      <c r="F70" s="9" t="str">
        <f t="shared" si="10"/>
        <v>成都市高新区</v>
      </c>
      <c r="G70" s="9" t="str">
        <f t="shared" si="10"/>
        <v>成都工商银行黄田坝分理处 4402219009100009913</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成都飞机工业集团电子科技有限公司</v>
      </c>
      <c r="C92" s="9" t="str">
        <f t="shared" ref="C92:G92" si="11">C70</f>
        <v>成都市工商局</v>
      </c>
      <c r="D92" s="9" t="str">
        <f t="shared" si="11"/>
        <v>91510100758783256J</v>
      </c>
      <c r="E92" s="9" t="str">
        <f t="shared" si="11"/>
        <v>国有参股</v>
      </c>
      <c r="F92" s="9" t="str">
        <f t="shared" si="11"/>
        <v>成都市高新区</v>
      </c>
      <c r="G92" s="9" t="str">
        <f t="shared" si="11"/>
        <v>成都工商银行黄田坝分理处 4402219009100009913</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40</v>
      </c>
      <c r="S114" s="9"/>
      <c r="T114" s="9"/>
      <c r="U114" s="9"/>
      <c r="V114" s="9"/>
      <c r="W114" s="9"/>
      <c r="X114" s="9"/>
      <c r="Y114" s="9">
        <f>Y92+Y70+Y48+Y26++Y4</f>
        <v>38.79</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116"/>
  <sheetViews>
    <sheetView topLeftCell="C1" zoomScale="60" zoomScaleNormal="60" workbookViewId="0">
      <pane ySplit="3" topLeftCell="A4" activePane="bottomLeft" state="frozen"/>
      <selection pane="bottomLeft" activeCell="B4" sqref="B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四川骏逸富顿科技有限公司审计明细表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494</v>
      </c>
      <c r="C4" s="9" t="s">
        <v>32</v>
      </c>
      <c r="D4" s="9" t="s">
        <v>495</v>
      </c>
      <c r="E4" s="9" t="s">
        <v>146</v>
      </c>
      <c r="F4" s="9" t="s">
        <v>91</v>
      </c>
      <c r="G4" s="9" t="s">
        <v>496</v>
      </c>
      <c r="H4" s="9" t="s">
        <v>130</v>
      </c>
      <c r="I4" s="9" t="s">
        <v>497</v>
      </c>
      <c r="J4" s="9" t="s">
        <v>73</v>
      </c>
      <c r="K4" s="9">
        <v>500</v>
      </c>
      <c r="L4" s="9" t="s">
        <v>498</v>
      </c>
      <c r="M4" s="20" t="s">
        <v>499</v>
      </c>
      <c r="N4" s="16">
        <v>45012</v>
      </c>
      <c r="O4" s="16">
        <v>45291</v>
      </c>
      <c r="P4" s="9">
        <f>P17-N4</f>
        <v>364</v>
      </c>
      <c r="Q4" s="22">
        <f>SUM(Q5:Q25)</f>
        <v>21.02</v>
      </c>
      <c r="R4" s="22">
        <v>5.96</v>
      </c>
      <c r="S4" s="9"/>
      <c r="T4" s="22">
        <f>SUM(T5:T25)</f>
        <v>21.02</v>
      </c>
      <c r="U4" s="23">
        <v>4.1599999999999998E-2</v>
      </c>
      <c r="V4" s="16"/>
      <c r="W4" s="9" t="s">
        <v>42</v>
      </c>
      <c r="X4" s="24">
        <v>1.4999999999999999E-2</v>
      </c>
      <c r="Y4" s="9">
        <f>ROUNDDOWN(IF((O4-N4+1)*K4*X4/365&gt;R4,R4,(O4-N4+1)*K4*X4/365),2)</f>
        <v>5.75</v>
      </c>
      <c r="Z4" s="22">
        <f>R4-Y4</f>
        <v>0.21</v>
      </c>
      <c r="AA4" s="22" t="s">
        <v>177</v>
      </c>
      <c r="AB4" s="9" t="s">
        <v>61</v>
      </c>
      <c r="AD4" s="28">
        <f>(O4-N4+1)*K4*X4/365</f>
        <v>5.7534000000000001</v>
      </c>
    </row>
    <row r="5" spans="1:30" s="2" customFormat="1">
      <c r="A5" s="10"/>
      <c r="B5" s="10"/>
      <c r="C5" s="10"/>
      <c r="D5" s="10"/>
      <c r="E5" s="10"/>
      <c r="F5" s="10"/>
      <c r="G5" s="10"/>
      <c r="H5" s="10"/>
      <c r="I5" s="10"/>
      <c r="J5" s="10"/>
      <c r="K5" s="10"/>
      <c r="L5" s="10"/>
      <c r="M5" s="17"/>
      <c r="N5" s="18"/>
      <c r="O5" s="16">
        <v>45377</v>
      </c>
      <c r="P5" s="19">
        <v>45036</v>
      </c>
      <c r="Q5" s="25">
        <v>1.39</v>
      </c>
      <c r="R5" s="10"/>
      <c r="S5" s="19">
        <f>P5</f>
        <v>45036</v>
      </c>
      <c r="T5" s="25">
        <f>(S5-N4)/360*$U$4*$K$4</f>
        <v>1.39</v>
      </c>
      <c r="U5" s="25">
        <f>T5-Q5</f>
        <v>0</v>
      </c>
      <c r="V5" s="18"/>
      <c r="W5" s="10"/>
      <c r="X5" s="10"/>
      <c r="Y5" s="10">
        <f>ROUNDDOWN((V5-N4)*K4*X4/365,2)</f>
        <v>-924.9</v>
      </c>
      <c r="Z5" s="10"/>
      <c r="AA5" s="10"/>
      <c r="AB5" s="10"/>
    </row>
    <row r="6" spans="1:30" s="2" customFormat="1">
      <c r="A6" s="10"/>
      <c r="B6" s="10"/>
      <c r="C6" s="10"/>
      <c r="D6" s="10"/>
      <c r="E6" s="10"/>
      <c r="F6" s="10"/>
      <c r="G6" s="10"/>
      <c r="H6" s="10"/>
      <c r="I6" s="10"/>
      <c r="J6" s="10"/>
      <c r="K6" s="10"/>
      <c r="L6" s="10"/>
      <c r="M6" s="17"/>
      <c r="N6" s="18"/>
      <c r="O6" s="18"/>
      <c r="P6" s="19">
        <v>45066</v>
      </c>
      <c r="Q6" s="25">
        <v>1.73</v>
      </c>
      <c r="R6" s="10"/>
      <c r="S6" s="19">
        <f t="shared" ref="S6:S17" si="0">P6</f>
        <v>45066</v>
      </c>
      <c r="T6" s="25">
        <f>(S6-S5)*$K$4*$U$4/360</f>
        <v>1.73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45097</v>
      </c>
      <c r="Q7" s="25">
        <v>1.79</v>
      </c>
      <c r="R7" s="10"/>
      <c r="S7" s="19">
        <f t="shared" si="0"/>
        <v>45097</v>
      </c>
      <c r="T7" s="25">
        <f t="shared" ref="T7:T17" si="1">(S7-S6)*$K$4*$U$4/360</f>
        <v>1.79</v>
      </c>
      <c r="U7" s="25">
        <f t="shared" ref="U7:U17"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45127</v>
      </c>
      <c r="Q8" s="25">
        <v>1.73</v>
      </c>
      <c r="R8" s="10"/>
      <c r="S8" s="19">
        <f t="shared" si="0"/>
        <v>45127</v>
      </c>
      <c r="T8" s="25">
        <f t="shared" si="1"/>
        <v>1.73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45158</v>
      </c>
      <c r="Q9" s="25">
        <v>1.79</v>
      </c>
      <c r="R9" s="10"/>
      <c r="S9" s="19">
        <f t="shared" si="0"/>
        <v>45158</v>
      </c>
      <c r="T9" s="25">
        <f t="shared" si="1"/>
        <v>1.79</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45189</v>
      </c>
      <c r="Q10" s="25">
        <v>1.79</v>
      </c>
      <c r="R10" s="10"/>
      <c r="S10" s="19">
        <f t="shared" si="0"/>
        <v>45189</v>
      </c>
      <c r="T10" s="25">
        <f t="shared" si="1"/>
        <v>1.79</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45219</v>
      </c>
      <c r="Q11" s="25">
        <v>1.73</v>
      </c>
      <c r="R11" s="10"/>
      <c r="S11" s="19">
        <f t="shared" si="0"/>
        <v>45219</v>
      </c>
      <c r="T11" s="25">
        <f t="shared" si="1"/>
        <v>1.73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45250</v>
      </c>
      <c r="Q12" s="25">
        <v>1.79</v>
      </c>
      <c r="R12" s="10"/>
      <c r="S12" s="19">
        <f t="shared" si="0"/>
        <v>45250</v>
      </c>
      <c r="T12" s="25">
        <f t="shared" si="1"/>
        <v>1.79</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45280</v>
      </c>
      <c r="Q13" s="25">
        <v>1.73</v>
      </c>
      <c r="R13" s="10"/>
      <c r="S13" s="19">
        <f t="shared" si="0"/>
        <v>45280</v>
      </c>
      <c r="T13" s="25">
        <f t="shared" si="1"/>
        <v>1.73</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45311</v>
      </c>
      <c r="Q14" s="25">
        <v>1.79</v>
      </c>
      <c r="R14" s="10"/>
      <c r="S14" s="19">
        <f t="shared" si="0"/>
        <v>45311</v>
      </c>
      <c r="T14" s="25">
        <f t="shared" si="1"/>
        <v>1.79</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45342</v>
      </c>
      <c r="Q15" s="25">
        <v>1.79</v>
      </c>
      <c r="R15" s="10"/>
      <c r="S15" s="19">
        <f t="shared" si="0"/>
        <v>45342</v>
      </c>
      <c r="T15" s="25">
        <f t="shared" si="1"/>
        <v>1.79</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45371</v>
      </c>
      <c r="Q16" s="25">
        <v>1.68</v>
      </c>
      <c r="R16" s="10"/>
      <c r="S16" s="19">
        <f t="shared" si="0"/>
        <v>45371</v>
      </c>
      <c r="T16" s="25">
        <f t="shared" si="1"/>
        <v>1.68</v>
      </c>
      <c r="U16" s="25">
        <f t="shared" si="2"/>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45376</v>
      </c>
      <c r="Q17" s="25">
        <v>0.28999999999999998</v>
      </c>
      <c r="R17" s="10"/>
      <c r="S17" s="19">
        <f t="shared" si="0"/>
        <v>45376</v>
      </c>
      <c r="T17" s="25">
        <f t="shared" si="1"/>
        <v>0.28999999999999998</v>
      </c>
      <c r="U17" s="25">
        <f t="shared" si="2"/>
        <v>0</v>
      </c>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四川骏逸富顿科技有限公司</v>
      </c>
      <c r="C26" s="9" t="str">
        <f t="shared" ref="C26:G26" si="3">C4</f>
        <v>成都高新技术产业开发区市场监督管理局</v>
      </c>
      <c r="D26" s="9" t="str">
        <f t="shared" si="3"/>
        <v>9151010039628749XP</v>
      </c>
      <c r="E26" s="9" t="str">
        <f t="shared" si="3"/>
        <v>有限责任公司</v>
      </c>
      <c r="F26" s="9" t="str">
        <f t="shared" si="3"/>
        <v>成都市高新区税务局</v>
      </c>
      <c r="G26" s="9" t="str">
        <f t="shared" si="3"/>
        <v>成都农村商业银行股份有限公司聚兴支行1000020007453011</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四川骏逸富顿科技有限公司</v>
      </c>
      <c r="C48" s="9" t="str">
        <f t="shared" ref="C48:G48" si="7">C26</f>
        <v>成都高新技术产业开发区市场监督管理局</v>
      </c>
      <c r="D48" s="9" t="str">
        <f t="shared" si="7"/>
        <v>9151010039628749XP</v>
      </c>
      <c r="E48" s="9" t="str">
        <f t="shared" si="7"/>
        <v>有限责任公司</v>
      </c>
      <c r="F48" s="9" t="str">
        <f t="shared" si="7"/>
        <v>成都市高新区税务局</v>
      </c>
      <c r="G48" s="9" t="str">
        <f t="shared" si="7"/>
        <v>成都农村商业银行股份有限公司聚兴支行1000020007453011</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四川骏逸富顿科技有限公司</v>
      </c>
      <c r="C70" s="9" t="str">
        <f t="shared" ref="C70:G70" si="10">C48</f>
        <v>成都高新技术产业开发区市场监督管理局</v>
      </c>
      <c r="D70" s="9" t="str">
        <f t="shared" si="10"/>
        <v>9151010039628749XP</v>
      </c>
      <c r="E70" s="9" t="str">
        <f t="shared" si="10"/>
        <v>有限责任公司</v>
      </c>
      <c r="F70" s="9" t="str">
        <f t="shared" si="10"/>
        <v>成都市高新区税务局</v>
      </c>
      <c r="G70" s="9" t="str">
        <f t="shared" si="10"/>
        <v>成都农村商业银行股份有限公司聚兴支行1000020007453011</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四川骏逸富顿科技有限公司</v>
      </c>
      <c r="C92" s="9" t="str">
        <f t="shared" ref="C92:G92" si="11">C70</f>
        <v>成都高新技术产业开发区市场监督管理局</v>
      </c>
      <c r="D92" s="9" t="str">
        <f t="shared" si="11"/>
        <v>9151010039628749XP</v>
      </c>
      <c r="E92" s="9" t="str">
        <f t="shared" si="11"/>
        <v>有限责任公司</v>
      </c>
      <c r="F92" s="9" t="str">
        <f t="shared" si="11"/>
        <v>成都市高新区税务局</v>
      </c>
      <c r="G92" s="9" t="str">
        <f t="shared" si="11"/>
        <v>成都农村商业银行股份有限公司聚兴支行1000020007453011</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9">
        <f>R92+R70+R48+R26++R4</f>
        <v>5.96</v>
      </c>
      <c r="S114" s="9"/>
      <c r="T114" s="9"/>
      <c r="U114" s="9"/>
      <c r="V114" s="9"/>
      <c r="W114" s="9"/>
      <c r="X114" s="9"/>
      <c r="Y114" s="9">
        <f>Y92+Y70+Y48+Y26++Y4</f>
        <v>5.75</v>
      </c>
      <c r="Z114" s="9"/>
      <c r="AA114" s="9"/>
      <c r="AB114" s="9"/>
    </row>
    <row r="115" spans="1:28">
      <c r="I115" t="s">
        <v>49</v>
      </c>
      <c r="K115">
        <f>IF(K114&gt;3000,K116,K114)</f>
        <v>500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116"/>
  <sheetViews>
    <sheetView topLeftCell="G1" zoomScale="60" zoomScaleNormal="60" workbookViewId="0">
      <pane ySplit="3" topLeftCell="A16" activePane="bottomLeft" state="frozen"/>
      <selection pane="bottomLeft" activeCell="L26" sqref="L26:AB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成都晨发泰达航空科技股份有限公司审计明细表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500</v>
      </c>
      <c r="C4" s="9" t="s">
        <v>52</v>
      </c>
      <c r="D4" s="9" t="s">
        <v>501</v>
      </c>
      <c r="E4" s="9" t="s">
        <v>502</v>
      </c>
      <c r="F4" s="9" t="s">
        <v>503</v>
      </c>
      <c r="G4" s="9" t="s">
        <v>504</v>
      </c>
      <c r="H4" s="9" t="s">
        <v>71</v>
      </c>
      <c r="I4" s="9" t="s">
        <v>505</v>
      </c>
      <c r="J4" s="9" t="s">
        <v>39</v>
      </c>
      <c r="K4" s="9">
        <v>999</v>
      </c>
      <c r="L4" s="9" t="s">
        <v>506</v>
      </c>
      <c r="M4" s="20" t="s">
        <v>507</v>
      </c>
      <c r="N4" s="16">
        <v>44769</v>
      </c>
      <c r="O4" s="16">
        <v>45133</v>
      </c>
      <c r="P4" s="9">
        <f>P17-N4</f>
        <v>364</v>
      </c>
      <c r="Q4" s="22">
        <v>41.41</v>
      </c>
      <c r="R4" s="22">
        <v>14.984999999999999</v>
      </c>
      <c r="S4" s="9"/>
      <c r="T4" s="22">
        <f>SUM(T5:T25)</f>
        <v>41.42</v>
      </c>
      <c r="U4" s="23">
        <v>4.1000000000000002E-2</v>
      </c>
      <c r="V4" s="16"/>
      <c r="W4" s="9" t="s">
        <v>42</v>
      </c>
      <c r="X4" s="24">
        <v>1.4999999999999999E-2</v>
      </c>
      <c r="Y4" s="9">
        <f>ROUNDDOWN(IF((O4-N4+1)*K4*X4/365&gt;R4,R4,(O4-N4+1)*K4*X4/365),2)</f>
        <v>14.98</v>
      </c>
      <c r="Z4" s="22">
        <f>R4-Y4</f>
        <v>0</v>
      </c>
      <c r="AA4" s="9"/>
      <c r="AB4" s="9" t="s">
        <v>508</v>
      </c>
      <c r="AD4" s="28">
        <f>(O4-N4+1)*K4*X4/365</f>
        <v>14.984999999999999</v>
      </c>
    </row>
    <row r="5" spans="1:30" s="2" customFormat="1" ht="84">
      <c r="A5" s="10"/>
      <c r="B5" s="10"/>
      <c r="C5" s="10"/>
      <c r="D5" s="10"/>
      <c r="E5" s="10"/>
      <c r="F5" s="10"/>
      <c r="G5" s="10"/>
      <c r="H5" s="10"/>
      <c r="I5" s="10"/>
      <c r="J5" s="10"/>
      <c r="K5" s="10"/>
      <c r="L5" s="10" t="s">
        <v>509</v>
      </c>
      <c r="M5" s="17"/>
      <c r="N5" s="18"/>
      <c r="O5" s="18"/>
      <c r="P5" s="19">
        <v>44794</v>
      </c>
      <c r="Q5" s="25">
        <v>2.84</v>
      </c>
      <c r="R5" s="10"/>
      <c r="S5" s="19">
        <f>P5</f>
        <v>44794</v>
      </c>
      <c r="T5" s="25">
        <f>(S5-N4)/360*$U$4*$K$4</f>
        <v>2.84</v>
      </c>
      <c r="U5" s="25">
        <f>T5-Q5</f>
        <v>0</v>
      </c>
      <c r="V5" s="18"/>
      <c r="W5" s="10"/>
      <c r="X5" s="10"/>
      <c r="Y5" s="10">
        <f>ROUNDDOWN((V5-N4)*K4*X4/365,2)</f>
        <v>-1837.98</v>
      </c>
      <c r="Z5" s="10"/>
      <c r="AA5" s="10"/>
      <c r="AB5" s="10"/>
    </row>
    <row r="6" spans="1:30" s="2" customFormat="1">
      <c r="A6" s="10"/>
      <c r="B6" s="10"/>
      <c r="C6" s="10"/>
      <c r="D6" s="10"/>
      <c r="E6" s="10"/>
      <c r="F6" s="10"/>
      <c r="G6" s="10"/>
      <c r="H6" s="10"/>
      <c r="I6" s="10"/>
      <c r="J6" s="10"/>
      <c r="K6" s="10"/>
      <c r="L6" s="10"/>
      <c r="M6" s="17"/>
      <c r="N6" s="18"/>
      <c r="O6" s="18"/>
      <c r="P6" s="19">
        <v>44825</v>
      </c>
      <c r="Q6" s="25">
        <v>3.51</v>
      </c>
      <c r="R6" s="10"/>
      <c r="S6" s="19">
        <f t="shared" ref="S6:S17" si="0">P6</f>
        <v>44825</v>
      </c>
      <c r="T6" s="25">
        <f>(S6-S5)*$K$4*$U$4/360</f>
        <v>3.53</v>
      </c>
      <c r="U6" s="25">
        <f>T6-Q6</f>
        <v>0.02</v>
      </c>
      <c r="V6" s="10"/>
      <c r="W6" s="10"/>
      <c r="X6" s="10"/>
      <c r="Y6" s="10"/>
      <c r="Z6" s="10"/>
      <c r="AA6" s="10"/>
      <c r="AB6" s="10"/>
    </row>
    <row r="7" spans="1:30" s="2" customFormat="1">
      <c r="A7" s="10"/>
      <c r="B7" s="10"/>
      <c r="C7" s="10"/>
      <c r="D7" s="10"/>
      <c r="E7" s="10"/>
      <c r="F7" s="10"/>
      <c r="G7" s="10"/>
      <c r="H7" s="10"/>
      <c r="I7" s="10"/>
      <c r="J7" s="10"/>
      <c r="K7" s="10"/>
      <c r="L7" s="10"/>
      <c r="M7" s="17"/>
      <c r="N7" s="18"/>
      <c r="O7" s="18"/>
      <c r="P7" s="19">
        <v>44855</v>
      </c>
      <c r="Q7" s="25"/>
      <c r="R7" s="10"/>
      <c r="S7" s="19">
        <f t="shared" si="0"/>
        <v>44855</v>
      </c>
      <c r="T7" s="25">
        <f t="shared" ref="T7:T17" si="1">(S7-S6)*$K$4*$U$4/360</f>
        <v>3.41</v>
      </c>
      <c r="U7" s="25">
        <f t="shared" ref="U7:U17" si="2">T7-Q7</f>
        <v>3.41</v>
      </c>
      <c r="V7" s="10"/>
      <c r="W7" s="10"/>
      <c r="X7" s="10"/>
      <c r="Y7" s="10"/>
      <c r="Z7" s="10"/>
      <c r="AA7" s="10"/>
      <c r="AB7" s="10"/>
    </row>
    <row r="8" spans="1:30" s="2" customFormat="1">
      <c r="A8" s="10"/>
      <c r="B8" s="10"/>
      <c r="C8" s="10"/>
      <c r="D8" s="10"/>
      <c r="E8" s="10"/>
      <c r="F8" s="10"/>
      <c r="G8" s="10"/>
      <c r="H8" s="10"/>
      <c r="I8" s="10"/>
      <c r="J8" s="10"/>
      <c r="K8" s="10"/>
      <c r="L8" s="10"/>
      <c r="M8" s="17"/>
      <c r="N8" s="18"/>
      <c r="O8" s="18"/>
      <c r="P8" s="19">
        <v>44886</v>
      </c>
      <c r="Q8" s="25"/>
      <c r="R8" s="10"/>
      <c r="S8" s="19">
        <f t="shared" si="0"/>
        <v>44886</v>
      </c>
      <c r="T8" s="25">
        <f t="shared" si="1"/>
        <v>3.53</v>
      </c>
      <c r="U8" s="25">
        <f t="shared" si="2"/>
        <v>3.53</v>
      </c>
      <c r="V8" s="10"/>
      <c r="W8" s="10"/>
      <c r="X8" s="10"/>
      <c r="Y8" s="10"/>
      <c r="Z8" s="10"/>
      <c r="AA8" s="10"/>
      <c r="AB8" s="10"/>
    </row>
    <row r="9" spans="1:30" s="2" customFormat="1">
      <c r="A9" s="10"/>
      <c r="B9" s="10"/>
      <c r="C9" s="10"/>
      <c r="D9" s="10"/>
      <c r="E9" s="10"/>
      <c r="F9" s="10"/>
      <c r="G9" s="10"/>
      <c r="H9" s="10"/>
      <c r="I9" s="10"/>
      <c r="J9" s="10"/>
      <c r="K9" s="10"/>
      <c r="L9" s="10"/>
      <c r="M9" s="17"/>
      <c r="N9" s="18"/>
      <c r="O9" s="18"/>
      <c r="P9" s="19">
        <v>44916</v>
      </c>
      <c r="Q9" s="25"/>
      <c r="R9" s="10"/>
      <c r="S9" s="19">
        <f t="shared" si="0"/>
        <v>44916</v>
      </c>
      <c r="T9" s="25">
        <f t="shared" si="1"/>
        <v>3.41</v>
      </c>
      <c r="U9" s="25">
        <f t="shared" si="2"/>
        <v>3.41</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44947</v>
      </c>
      <c r="Q10" s="25"/>
      <c r="R10" s="10"/>
      <c r="S10" s="19">
        <f t="shared" si="0"/>
        <v>44947</v>
      </c>
      <c r="T10" s="25">
        <f t="shared" si="1"/>
        <v>3.53</v>
      </c>
      <c r="U10" s="25">
        <f t="shared" si="2"/>
        <v>3.53</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44978</v>
      </c>
      <c r="Q11" s="25"/>
      <c r="R11" s="10"/>
      <c r="S11" s="19">
        <f t="shared" si="0"/>
        <v>44978</v>
      </c>
      <c r="T11" s="25">
        <f t="shared" si="1"/>
        <v>3.53</v>
      </c>
      <c r="U11" s="25">
        <f t="shared" si="2"/>
        <v>3.53</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45006</v>
      </c>
      <c r="Q12" s="25"/>
      <c r="R12" s="10"/>
      <c r="S12" s="19">
        <f t="shared" si="0"/>
        <v>45006</v>
      </c>
      <c r="T12" s="25">
        <f t="shared" si="1"/>
        <v>3.19</v>
      </c>
      <c r="U12" s="25">
        <f t="shared" si="2"/>
        <v>3.19</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45037</v>
      </c>
      <c r="Q13" s="25"/>
      <c r="R13" s="10"/>
      <c r="S13" s="19">
        <f t="shared" si="0"/>
        <v>45037</v>
      </c>
      <c r="T13" s="25">
        <f t="shared" si="1"/>
        <v>3.53</v>
      </c>
      <c r="U13" s="25">
        <f t="shared" si="2"/>
        <v>3.53</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45067</v>
      </c>
      <c r="Q14" s="25"/>
      <c r="R14" s="10"/>
      <c r="S14" s="19">
        <f t="shared" si="0"/>
        <v>45067</v>
      </c>
      <c r="T14" s="25">
        <f t="shared" si="1"/>
        <v>3.41</v>
      </c>
      <c r="U14" s="25">
        <f t="shared" si="2"/>
        <v>3.41</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45098</v>
      </c>
      <c r="Q15" s="25"/>
      <c r="R15" s="10"/>
      <c r="S15" s="19">
        <f t="shared" si="0"/>
        <v>45098</v>
      </c>
      <c r="T15" s="25">
        <f t="shared" si="1"/>
        <v>3.53</v>
      </c>
      <c r="U15" s="25">
        <f t="shared" si="2"/>
        <v>3.53</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45128</v>
      </c>
      <c r="Q16" s="25"/>
      <c r="R16" s="10"/>
      <c r="S16" s="19">
        <f t="shared" si="0"/>
        <v>45128</v>
      </c>
      <c r="T16" s="25">
        <f t="shared" si="1"/>
        <v>3.41</v>
      </c>
      <c r="U16" s="25">
        <f t="shared" si="2"/>
        <v>3.41</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45133</v>
      </c>
      <c r="Q17" s="25"/>
      <c r="R17" s="10"/>
      <c r="S17" s="19">
        <f t="shared" si="0"/>
        <v>45133</v>
      </c>
      <c r="T17" s="25">
        <f t="shared" si="1"/>
        <v>0.56999999999999995</v>
      </c>
      <c r="U17" s="25">
        <f t="shared" si="2"/>
        <v>0.56999999999999995</v>
      </c>
      <c r="V17" s="10"/>
      <c r="W17" s="10"/>
      <c r="X17" s="10"/>
      <c r="Y17" s="10"/>
      <c r="Z17" s="10"/>
      <c r="AA17" s="10"/>
      <c r="AB17" s="10"/>
    </row>
    <row r="18" spans="1:30" s="2" customFormat="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7.25" customHeight="1">
      <c r="A26" s="9">
        <v>2</v>
      </c>
      <c r="B26" s="9" t="str">
        <f>B4</f>
        <v>成都晨发泰达航空科技股份有限公司</v>
      </c>
      <c r="C26" s="9" t="str">
        <f t="shared" ref="C26:G26" si="3">C4</f>
        <v>成都市市场监督管理局</v>
      </c>
      <c r="D26" s="9" t="str">
        <f t="shared" si="3"/>
        <v>91510100MA61TY51XJ</v>
      </c>
      <c r="E26" s="9" t="str">
        <f t="shared" si="3"/>
        <v>股份制企业</v>
      </c>
      <c r="F26" s="9" t="str">
        <f t="shared" si="3"/>
        <v>成都高新技术产业开发区税务局西园税务所</v>
      </c>
      <c r="G26" s="9" t="str">
        <f t="shared" si="3"/>
        <v>81012100000093595（乐山市商业银行成都分行）</v>
      </c>
      <c r="H26" s="9" t="s">
        <v>71</v>
      </c>
      <c r="I26" s="9" t="s">
        <v>505</v>
      </c>
      <c r="J26" s="9" t="s">
        <v>39</v>
      </c>
      <c r="K26" s="9">
        <v>999</v>
      </c>
      <c r="L26" s="9" t="s">
        <v>510</v>
      </c>
      <c r="M26" s="20" t="s">
        <v>511</v>
      </c>
      <c r="N26" s="16">
        <v>44792</v>
      </c>
      <c r="O26" s="16">
        <v>45156</v>
      </c>
      <c r="P26" s="9">
        <f>P39-N26</f>
        <v>364</v>
      </c>
      <c r="Q26" s="22">
        <v>40.4</v>
      </c>
      <c r="R26" s="9">
        <v>14.984999999999999</v>
      </c>
      <c r="S26" s="9"/>
      <c r="T26" s="9">
        <f>SUM(T27:T47)</f>
        <v>30.52</v>
      </c>
      <c r="U26" s="23">
        <v>0.04</v>
      </c>
      <c r="V26" s="16"/>
      <c r="W26" s="9" t="s">
        <v>42</v>
      </c>
      <c r="X26" s="24">
        <v>1.4999999999999999E-2</v>
      </c>
      <c r="Y26" s="9">
        <f>ROUNDDOWN(IF((O26-N26+1)*K26*X26/365&gt;R26,R26,(O26-N26+1)*K26*X26/365),2)</f>
        <v>14.98</v>
      </c>
      <c r="Z26" s="127">
        <f>R26-Y26</f>
        <v>0</v>
      </c>
      <c r="AA26" s="9"/>
      <c r="AB26" s="9" t="s">
        <v>508</v>
      </c>
      <c r="AD26" s="1">
        <f>(O26-N26+1)*K26*X26/365</f>
        <v>14.984999999999999</v>
      </c>
    </row>
    <row r="27" spans="1:30" s="2" customFormat="1" ht="58.5" customHeight="1">
      <c r="A27" s="10"/>
      <c r="B27" s="10"/>
      <c r="C27" s="10"/>
      <c r="D27" s="10"/>
      <c r="E27" s="10"/>
      <c r="F27" s="10"/>
      <c r="G27" s="10"/>
      <c r="H27" s="10"/>
      <c r="I27" s="10"/>
      <c r="J27" s="10"/>
      <c r="K27" s="10"/>
      <c r="L27" s="10" t="s">
        <v>512</v>
      </c>
      <c r="M27" s="10"/>
      <c r="N27" s="18"/>
      <c r="O27" s="16"/>
      <c r="P27" s="19">
        <v>44794</v>
      </c>
      <c r="Q27" s="25">
        <v>0.22</v>
      </c>
      <c r="R27" s="10"/>
      <c r="S27" s="19">
        <f>P27</f>
        <v>44794</v>
      </c>
      <c r="T27" s="25">
        <f>(S27-N26)/360*$U$26*$K$26</f>
        <v>0.22</v>
      </c>
      <c r="U27" s="25">
        <f>T27-Q27</f>
        <v>0</v>
      </c>
      <c r="V27" s="18"/>
      <c r="W27" s="10"/>
      <c r="X27" s="10"/>
      <c r="Y27" s="29">
        <f>ROUNDUP((V27-N26)*K26*X26/365,2)</f>
        <v>-1838.93</v>
      </c>
      <c r="Z27" s="10"/>
      <c r="AA27" s="10"/>
      <c r="AB27" s="10"/>
    </row>
    <row r="28" spans="1:30" s="2" customFormat="1">
      <c r="A28" s="10"/>
      <c r="B28" s="10"/>
      <c r="C28" s="10"/>
      <c r="D28" s="10"/>
      <c r="E28" s="10"/>
      <c r="F28" s="10"/>
      <c r="G28" s="10"/>
      <c r="H28" s="10"/>
      <c r="I28" s="10"/>
      <c r="J28" s="10"/>
      <c r="K28" s="10"/>
      <c r="L28" s="10"/>
      <c r="M28" s="17"/>
      <c r="N28" s="18"/>
      <c r="O28" s="18"/>
      <c r="P28" s="19">
        <v>44825</v>
      </c>
      <c r="Q28" s="25">
        <v>3.41</v>
      </c>
      <c r="R28" s="10"/>
      <c r="S28" s="19">
        <f t="shared" ref="S28:S36" si="4">P28</f>
        <v>44825</v>
      </c>
      <c r="T28" s="25">
        <f>(S28-S27)*$U$26*$K$26/360</f>
        <v>3.44</v>
      </c>
      <c r="U28" s="25">
        <f t="shared" ref="U28:U37" si="5">T28-Q28</f>
        <v>0.03</v>
      </c>
      <c r="V28" s="10"/>
      <c r="W28" s="10"/>
      <c r="X28" s="10"/>
      <c r="Y28" s="29">
        <f>ROUNDUP((O26-V27+1)*(K26-W27)*X26/365,2)</f>
        <v>1853.92</v>
      </c>
      <c r="Z28" s="10"/>
      <c r="AA28" s="10"/>
      <c r="AB28" s="10"/>
    </row>
    <row r="29" spans="1:30" s="2" customFormat="1">
      <c r="A29" s="10"/>
      <c r="B29" s="10"/>
      <c r="C29" s="10"/>
      <c r="D29" s="10"/>
      <c r="E29" s="10"/>
      <c r="F29" s="10"/>
      <c r="G29" s="10"/>
      <c r="H29" s="10"/>
      <c r="I29" s="10"/>
      <c r="J29" s="10"/>
      <c r="K29" s="10"/>
      <c r="L29" s="10"/>
      <c r="M29" s="17"/>
      <c r="N29" s="18"/>
      <c r="O29" s="18"/>
      <c r="P29" s="19">
        <v>44855</v>
      </c>
      <c r="Q29" s="25"/>
      <c r="R29" s="10"/>
      <c r="S29" s="19">
        <f t="shared" si="4"/>
        <v>44855</v>
      </c>
      <c r="T29" s="25">
        <f t="shared" ref="T29:T36" si="6">(S29-S28)*$U$26*$K$26/360</f>
        <v>3.33</v>
      </c>
      <c r="U29" s="25">
        <f t="shared" si="5"/>
        <v>3.33</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44886</v>
      </c>
      <c r="Q30" s="25"/>
      <c r="R30" s="10"/>
      <c r="S30" s="19">
        <f t="shared" si="4"/>
        <v>44886</v>
      </c>
      <c r="T30" s="25">
        <f t="shared" si="6"/>
        <v>3.44</v>
      </c>
      <c r="U30" s="25">
        <f t="shared" si="5"/>
        <v>3.44</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44916</v>
      </c>
      <c r="Q31" s="25"/>
      <c r="R31" s="10"/>
      <c r="S31" s="19">
        <f t="shared" si="4"/>
        <v>44916</v>
      </c>
      <c r="T31" s="25">
        <f t="shared" si="6"/>
        <v>3.33</v>
      </c>
      <c r="U31" s="25">
        <f t="shared" si="5"/>
        <v>3.33</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44947</v>
      </c>
      <c r="Q32" s="25"/>
      <c r="R32" s="10"/>
      <c r="S32" s="19">
        <f t="shared" si="4"/>
        <v>44947</v>
      </c>
      <c r="T32" s="25">
        <f t="shared" si="6"/>
        <v>3.44</v>
      </c>
      <c r="U32" s="25">
        <f t="shared" si="5"/>
        <v>3.44</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44978</v>
      </c>
      <c r="Q33" s="25"/>
      <c r="R33" s="10"/>
      <c r="S33" s="19">
        <f t="shared" si="4"/>
        <v>44978</v>
      </c>
      <c r="T33" s="25">
        <f t="shared" si="6"/>
        <v>3.44</v>
      </c>
      <c r="U33" s="25">
        <f t="shared" si="5"/>
        <v>3.44</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45006</v>
      </c>
      <c r="Q34" s="25"/>
      <c r="R34" s="10"/>
      <c r="S34" s="19">
        <f t="shared" si="4"/>
        <v>45006</v>
      </c>
      <c r="T34" s="25">
        <f t="shared" si="6"/>
        <v>3.11</v>
      </c>
      <c r="U34" s="25">
        <f t="shared" si="5"/>
        <v>3.11</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45037</v>
      </c>
      <c r="Q35" s="25"/>
      <c r="R35" s="10"/>
      <c r="S35" s="19">
        <f t="shared" si="4"/>
        <v>45037</v>
      </c>
      <c r="T35" s="25">
        <f t="shared" si="6"/>
        <v>3.44</v>
      </c>
      <c r="U35" s="25">
        <f t="shared" si="5"/>
        <v>3.44</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45067</v>
      </c>
      <c r="Q36" s="25"/>
      <c r="R36" s="10"/>
      <c r="S36" s="19">
        <f t="shared" si="4"/>
        <v>45067</v>
      </c>
      <c r="T36" s="25">
        <f t="shared" si="6"/>
        <v>3.33</v>
      </c>
      <c r="U36" s="25">
        <f t="shared" si="5"/>
        <v>3.33</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45098</v>
      </c>
      <c r="Q37" s="25"/>
      <c r="R37" s="10"/>
      <c r="S37" s="19"/>
      <c r="T37" s="25"/>
      <c r="U37" s="25">
        <f t="shared" si="5"/>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45128</v>
      </c>
      <c r="Q38" s="25"/>
      <c r="R38" s="10"/>
      <c r="S38" s="19"/>
      <c r="T38" s="25"/>
      <c r="U38" s="25"/>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v>45156</v>
      </c>
      <c r="Q39" s="25"/>
      <c r="R39" s="10"/>
      <c r="S39" s="19"/>
      <c r="T39" s="25"/>
      <c r="U39" s="25"/>
      <c r="V39" s="10"/>
      <c r="W39" s="10"/>
      <c r="X39" s="10"/>
      <c r="Y39" s="10"/>
      <c r="Z39" s="10"/>
      <c r="AA39" s="10"/>
      <c r="AB39" s="10"/>
    </row>
    <row r="40" spans="1:28" s="2" customFormat="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成都晨发泰达航空科技股份有限公司</v>
      </c>
      <c r="C48" s="9" t="str">
        <f t="shared" ref="C48:G48" si="7">C26</f>
        <v>成都市市场监督管理局</v>
      </c>
      <c r="D48" s="9" t="str">
        <f t="shared" si="7"/>
        <v>91510100MA61TY51XJ</v>
      </c>
      <c r="E48" s="9" t="str">
        <f t="shared" si="7"/>
        <v>股份制企业</v>
      </c>
      <c r="F48" s="9" t="str">
        <f t="shared" si="7"/>
        <v>成都高新技术产业开发区税务局西园税务所</v>
      </c>
      <c r="G48" s="9" t="str">
        <f t="shared" si="7"/>
        <v>81012100000093595（乐山市商业银行成都分行）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成都晨发泰达航空科技股份有限公司</v>
      </c>
      <c r="C70" s="9" t="str">
        <f t="shared" ref="C70:G70" si="10">C48</f>
        <v>成都市市场监督管理局</v>
      </c>
      <c r="D70" s="9" t="str">
        <f t="shared" si="10"/>
        <v>91510100MA61TY51XJ</v>
      </c>
      <c r="E70" s="9" t="str">
        <f t="shared" si="10"/>
        <v>股份制企业</v>
      </c>
      <c r="F70" s="9" t="str">
        <f t="shared" si="10"/>
        <v>成都高新技术产业开发区税务局西园税务所</v>
      </c>
      <c r="G70" s="9" t="str">
        <f t="shared" si="10"/>
        <v>81012100000093595（乐山市商业银行成都分行）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成都晨发泰达航空科技股份有限公司</v>
      </c>
      <c r="C92" s="9" t="str">
        <f t="shared" ref="C92:G92" si="11">C70</f>
        <v>成都市市场监督管理局</v>
      </c>
      <c r="D92" s="9" t="str">
        <f t="shared" si="11"/>
        <v>91510100MA61TY51XJ</v>
      </c>
      <c r="E92" s="9" t="str">
        <f t="shared" si="11"/>
        <v>股份制企业</v>
      </c>
      <c r="F92" s="9" t="str">
        <f t="shared" si="11"/>
        <v>成都高新技术产业开发区税务局西园税务所</v>
      </c>
      <c r="G92" s="9" t="str">
        <f t="shared" si="11"/>
        <v>81012100000093595（乐山市商业银行成都分行）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1998</v>
      </c>
      <c r="L114" s="9"/>
      <c r="M114" s="20"/>
      <c r="N114" s="16"/>
      <c r="O114" s="16"/>
      <c r="P114" s="9"/>
      <c r="Q114" s="9"/>
      <c r="R114" s="22">
        <f>R92+R70+R48+R26+R4</f>
        <v>29.97</v>
      </c>
      <c r="S114" s="9"/>
      <c r="T114" s="9"/>
      <c r="U114" s="9"/>
      <c r="V114" s="9"/>
      <c r="W114" s="9"/>
      <c r="X114" s="9"/>
      <c r="Y114" s="9">
        <f>Y92+Y70+Y48+Y26++Y4</f>
        <v>29.96</v>
      </c>
      <c r="Z114" s="9"/>
      <c r="AA114" s="9"/>
      <c r="AB114" s="9"/>
    </row>
    <row r="115" spans="1:28">
      <c r="I115" t="s">
        <v>49</v>
      </c>
      <c r="K115">
        <f>IF(K114&gt;3000,K116,K114)</f>
        <v>1998</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D116"/>
  <sheetViews>
    <sheetView zoomScale="80" zoomScaleNormal="80" workbookViewId="0">
      <pane ySplit="3" topLeftCell="A4" activePane="bottomLeft" state="frozen"/>
      <selection pane="bottomLeft" activeCell="I27" sqref="I27"/>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成都蕊源半导体科技股份有限公司审计明细表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513</v>
      </c>
      <c r="C4" s="9" t="s">
        <v>52</v>
      </c>
      <c r="D4" s="9" t="s">
        <v>514</v>
      </c>
      <c r="E4" s="9" t="s">
        <v>146</v>
      </c>
      <c r="F4" s="9" t="s">
        <v>35</v>
      </c>
      <c r="G4" s="9" t="s">
        <v>515</v>
      </c>
      <c r="H4" s="9" t="s">
        <v>71</v>
      </c>
      <c r="I4" s="9" t="s">
        <v>411</v>
      </c>
      <c r="J4" s="9" t="s">
        <v>58</v>
      </c>
      <c r="K4" s="9">
        <v>1000</v>
      </c>
      <c r="L4" s="9" t="s">
        <v>516</v>
      </c>
      <c r="M4" s="20" t="s">
        <v>517</v>
      </c>
      <c r="N4" s="16">
        <v>45084</v>
      </c>
      <c r="O4" s="16">
        <v>45291</v>
      </c>
      <c r="P4" s="9">
        <f>P8-N4</f>
        <v>136</v>
      </c>
      <c r="Q4" s="22">
        <f>SUM(Q5:Q25)</f>
        <v>18.63</v>
      </c>
      <c r="R4" s="22">
        <v>8.5500000000000007</v>
      </c>
      <c r="S4" s="9"/>
      <c r="T4" s="22">
        <f>SUM(T5:T25)</f>
        <v>22.16</v>
      </c>
      <c r="U4" s="23">
        <v>3.5000000000000003E-2</v>
      </c>
      <c r="V4" s="16"/>
      <c r="W4" s="9" t="s">
        <v>42</v>
      </c>
      <c r="X4" s="24">
        <v>1.4999999999999999E-2</v>
      </c>
      <c r="Y4" s="9">
        <f>ROUNDDOWN(IF((O4-N4+1)*K4*X4/365&gt;R4,R4,(O4-N4+1)*K4*X4/365),2)</f>
        <v>8.5399999999999991</v>
      </c>
      <c r="Z4" s="22">
        <f>R4-Y4</f>
        <v>0.01</v>
      </c>
      <c r="AA4" s="22" t="s">
        <v>43</v>
      </c>
      <c r="AB4" s="9" t="s">
        <v>61</v>
      </c>
      <c r="AD4" s="28">
        <f>(O4-N4+1)*K4*X4/365</f>
        <v>8.5479000000000003</v>
      </c>
    </row>
    <row r="5" spans="1:30" s="2" customFormat="1">
      <c r="A5" s="10"/>
      <c r="B5" s="10"/>
      <c r="C5" s="10"/>
      <c r="D5" s="10"/>
      <c r="E5" s="10"/>
      <c r="F5" s="10"/>
      <c r="G5" s="10"/>
      <c r="H5" s="10"/>
      <c r="I5" s="10"/>
      <c r="J5" s="10"/>
      <c r="K5" s="10"/>
      <c r="L5" s="10"/>
      <c r="M5" s="17"/>
      <c r="N5" s="18"/>
      <c r="O5" s="16">
        <v>45449</v>
      </c>
      <c r="P5" s="19">
        <v>45128</v>
      </c>
      <c r="Q5" s="25">
        <v>4.28</v>
      </c>
      <c r="R5" s="10"/>
      <c r="S5" s="19">
        <f t="shared" ref="S5:S11" si="0">P5</f>
        <v>45128</v>
      </c>
      <c r="T5" s="25">
        <f>(S5-N4)/360*$U$4*$K$4</f>
        <v>4.28</v>
      </c>
      <c r="U5" s="25">
        <f t="shared" ref="U5:U11" si="1">T5-Q5</f>
        <v>0</v>
      </c>
      <c r="V5" s="18"/>
      <c r="W5" s="10"/>
      <c r="X5" s="10"/>
      <c r="Y5" s="10">
        <f>ROUNDDOWN((V5-N4)*K4*X4/365,2)</f>
        <v>-1852.76</v>
      </c>
      <c r="Z5" s="10"/>
      <c r="AA5" s="10"/>
      <c r="AB5" s="10"/>
    </row>
    <row r="6" spans="1:30" s="2" customFormat="1">
      <c r="A6" s="10"/>
      <c r="B6" s="10"/>
      <c r="C6" s="10"/>
      <c r="D6" s="10"/>
      <c r="E6" s="10"/>
      <c r="F6" s="10"/>
      <c r="G6" s="10"/>
      <c r="H6" s="10"/>
      <c r="I6" s="10"/>
      <c r="J6" s="10"/>
      <c r="K6" s="10"/>
      <c r="L6" s="10"/>
      <c r="M6" s="17"/>
      <c r="N6" s="18"/>
      <c r="O6" s="18"/>
      <c r="P6" s="19">
        <v>45159</v>
      </c>
      <c r="Q6" s="25">
        <v>3.01</v>
      </c>
      <c r="R6" s="10"/>
      <c r="S6" s="19">
        <f t="shared" si="0"/>
        <v>45159</v>
      </c>
      <c r="T6" s="25">
        <f t="shared" ref="T6:T11" si="2">(S6-S5)*$K$4*$U$4/360</f>
        <v>3.01</v>
      </c>
      <c r="U6" s="25">
        <f t="shared" si="1"/>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45190</v>
      </c>
      <c r="Q7" s="25">
        <v>2.92</v>
      </c>
      <c r="R7" s="10"/>
      <c r="S7" s="19">
        <f t="shared" si="0"/>
        <v>45190</v>
      </c>
      <c r="T7" s="25">
        <f t="shared" si="2"/>
        <v>3.01</v>
      </c>
      <c r="U7" s="25">
        <f t="shared" si="1"/>
        <v>0.09</v>
      </c>
      <c r="V7" s="10"/>
      <c r="W7" s="10"/>
      <c r="X7" s="10"/>
      <c r="Y7" s="10"/>
      <c r="Z7" s="10"/>
      <c r="AA7" s="10"/>
      <c r="AB7" s="10"/>
    </row>
    <row r="8" spans="1:30" s="2" customFormat="1">
      <c r="A8" s="10"/>
      <c r="B8" s="10"/>
      <c r="C8" s="10"/>
      <c r="D8" s="10"/>
      <c r="E8" s="10"/>
      <c r="F8" s="10"/>
      <c r="G8" s="10"/>
      <c r="H8" s="10"/>
      <c r="I8" s="10"/>
      <c r="J8" s="10"/>
      <c r="K8" s="10"/>
      <c r="L8" s="10"/>
      <c r="M8" s="17"/>
      <c r="N8" s="18"/>
      <c r="O8" s="18"/>
      <c r="P8" s="19">
        <v>45220</v>
      </c>
      <c r="Q8" s="25">
        <v>2.5</v>
      </c>
      <c r="R8" s="10"/>
      <c r="S8" s="19">
        <f t="shared" si="0"/>
        <v>45220</v>
      </c>
      <c r="T8" s="25">
        <f t="shared" si="2"/>
        <v>2.92</v>
      </c>
      <c r="U8" s="25">
        <f t="shared" si="1"/>
        <v>0.42</v>
      </c>
      <c r="V8" s="10"/>
      <c r="W8" s="10"/>
      <c r="X8" s="10"/>
      <c r="Y8" s="10"/>
      <c r="Z8" s="10"/>
      <c r="AA8" s="10"/>
      <c r="AB8" s="10"/>
    </row>
    <row r="9" spans="1:30" s="2" customFormat="1">
      <c r="A9" s="10"/>
      <c r="B9" s="10"/>
      <c r="C9" s="10"/>
      <c r="D9" s="10"/>
      <c r="E9" s="10"/>
      <c r="F9" s="10"/>
      <c r="G9" s="10"/>
      <c r="H9" s="10"/>
      <c r="I9" s="10"/>
      <c r="J9" s="10"/>
      <c r="K9" s="10"/>
      <c r="L9" s="10"/>
      <c r="M9" s="17"/>
      <c r="N9" s="18"/>
      <c r="O9" s="18"/>
      <c r="P9" s="19">
        <v>45251</v>
      </c>
      <c r="Q9" s="25">
        <v>2.02</v>
      </c>
      <c r="R9" s="10"/>
      <c r="S9" s="19">
        <f t="shared" si="0"/>
        <v>45251</v>
      </c>
      <c r="T9" s="25">
        <f t="shared" si="2"/>
        <v>3.01</v>
      </c>
      <c r="U9" s="25">
        <f t="shared" si="1"/>
        <v>0.99</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45281</v>
      </c>
      <c r="Q10" s="25">
        <v>1.92</v>
      </c>
      <c r="R10" s="10"/>
      <c r="S10" s="19">
        <f t="shared" si="0"/>
        <v>45281</v>
      </c>
      <c r="T10" s="25">
        <f t="shared" si="2"/>
        <v>2.92</v>
      </c>
      <c r="U10" s="25">
        <f t="shared" si="1"/>
        <v>1</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45312</v>
      </c>
      <c r="Q11" s="25">
        <v>1.98</v>
      </c>
      <c r="R11" s="10"/>
      <c r="S11" s="19">
        <f t="shared" si="0"/>
        <v>45312</v>
      </c>
      <c r="T11" s="25">
        <f t="shared" si="2"/>
        <v>3.01</v>
      </c>
      <c r="U11" s="25">
        <f t="shared" si="1"/>
        <v>1.03</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c r="A26" s="9">
        <v>2</v>
      </c>
      <c r="B26" s="9" t="str">
        <f>B4</f>
        <v>成都蕊源半导体科技股份有限公司</v>
      </c>
      <c r="C26" s="9" t="str">
        <f t="shared" ref="C26:G26" si="3">C4</f>
        <v>成都市市场监督管理局</v>
      </c>
      <c r="D26" s="9" t="str">
        <f t="shared" si="3"/>
        <v>91510100MA61WTPR2G</v>
      </c>
      <c r="E26" s="9" t="str">
        <f t="shared" si="3"/>
        <v>有限责任公司</v>
      </c>
      <c r="F26" s="9" t="str">
        <f t="shared" si="3"/>
        <v>国家税务总局成都高新技术产业开发区税务局</v>
      </c>
      <c r="G26" s="9" t="str">
        <f t="shared" si="3"/>
        <v>698038262民生银行成都铁像寺支行</v>
      </c>
      <c r="H26" s="9" t="s">
        <v>71</v>
      </c>
      <c r="I26" s="9" t="s">
        <v>518</v>
      </c>
      <c r="J26" s="9" t="s">
        <v>58</v>
      </c>
      <c r="K26" s="9">
        <v>1000</v>
      </c>
      <c r="L26" s="9" t="s">
        <v>519</v>
      </c>
      <c r="M26" s="20" t="s">
        <v>520</v>
      </c>
      <c r="N26" s="16">
        <v>45254</v>
      </c>
      <c r="O26" s="15">
        <v>45291</v>
      </c>
      <c r="P26" s="9">
        <f>P28-N26</f>
        <v>118</v>
      </c>
      <c r="Q26" s="22">
        <f>SUM(Q27:Q47)</f>
        <v>7.21</v>
      </c>
      <c r="R26" s="9">
        <v>1.56</v>
      </c>
      <c r="S26" s="9"/>
      <c r="T26" s="9">
        <f>SUM(T27:T47)</f>
        <v>7.21</v>
      </c>
      <c r="U26" s="23">
        <v>2.1999999999999999E-2</v>
      </c>
      <c r="V26" s="16"/>
      <c r="W26" s="9" t="s">
        <v>42</v>
      </c>
      <c r="X26" s="24">
        <v>1.4999999999999999E-2</v>
      </c>
      <c r="Y26" s="9">
        <f>ROUNDDOWN(IF((O26-N26+1)*K26*X26/365&gt;R26,R26,(O26-N26+1)*K26*X26/365),2)</f>
        <v>1.56</v>
      </c>
      <c r="Z26" s="9">
        <f>R26-Y26</f>
        <v>0</v>
      </c>
      <c r="AA26" s="9"/>
      <c r="AB26" s="9" t="s">
        <v>61</v>
      </c>
      <c r="AD26" s="1">
        <f>(O26-N26+1)*K26*X26/365</f>
        <v>1.5616438356164399</v>
      </c>
    </row>
    <row r="27" spans="1:30" s="2" customFormat="1">
      <c r="A27" s="10"/>
      <c r="B27" s="10"/>
      <c r="C27" s="10"/>
      <c r="D27" s="10"/>
      <c r="E27" s="10"/>
      <c r="F27" s="10"/>
      <c r="G27" s="10"/>
      <c r="H27" s="10"/>
      <c r="I27" s="10"/>
      <c r="J27" s="10"/>
      <c r="K27" s="10"/>
      <c r="L27" s="10"/>
      <c r="M27" s="17"/>
      <c r="N27" s="18"/>
      <c r="O27" s="15">
        <v>45620</v>
      </c>
      <c r="P27" s="19">
        <v>45281</v>
      </c>
      <c r="Q27" s="25">
        <v>1.65</v>
      </c>
      <c r="R27" s="10"/>
      <c r="S27" s="19">
        <f>P27</f>
        <v>45281</v>
      </c>
      <c r="T27" s="25">
        <f>(S27-N26)/360*$U$26*$K$26</f>
        <v>1.65</v>
      </c>
      <c r="U27" s="25">
        <f>T27-Q27</f>
        <v>0</v>
      </c>
      <c r="V27" s="18"/>
      <c r="W27" s="10"/>
      <c r="X27" s="10"/>
      <c r="Y27" s="29">
        <f>ROUNDUP((V27-N26)*K26*X26/365,2)</f>
        <v>-1859.76</v>
      </c>
      <c r="Z27" s="10"/>
      <c r="AA27" s="10"/>
      <c r="AB27" s="10"/>
    </row>
    <row r="28" spans="1:30" s="2" customFormat="1">
      <c r="A28" s="10"/>
      <c r="B28" s="10"/>
      <c r="C28" s="10"/>
      <c r="D28" s="10"/>
      <c r="E28" s="10"/>
      <c r="F28" s="10"/>
      <c r="G28" s="10"/>
      <c r="H28" s="10"/>
      <c r="I28" s="10"/>
      <c r="J28" s="10"/>
      <c r="K28" s="10"/>
      <c r="L28" s="10"/>
      <c r="M28" s="17"/>
      <c r="N28" s="18"/>
      <c r="O28" s="18"/>
      <c r="P28" s="19">
        <v>45372</v>
      </c>
      <c r="Q28" s="25">
        <v>5.56</v>
      </c>
      <c r="R28" s="10"/>
      <c r="S28" s="19">
        <f t="shared" ref="S28" si="4">P28</f>
        <v>45372</v>
      </c>
      <c r="T28" s="25">
        <f>(S28-S27)*$U$26*$K$26/360</f>
        <v>5.56</v>
      </c>
      <c r="U28" s="25">
        <f t="shared" ref="U28" si="5">T28-Q28</f>
        <v>0</v>
      </c>
      <c r="V28" s="10"/>
      <c r="W28" s="10"/>
      <c r="X28" s="10"/>
      <c r="Y28" s="29">
        <f>ROUNDUP((O26-V27+1)*(K26-W27)*X26/365,2)</f>
        <v>1861.32</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c r="T30" s="25"/>
      <c r="U30" s="25"/>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c r="T31" s="25"/>
      <c r="U31" s="25"/>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成都蕊源半导体科技股份有限公司</v>
      </c>
      <c r="C48" s="9" t="str">
        <f t="shared" ref="C48:G48" si="6">C26</f>
        <v>成都市市场监督管理局</v>
      </c>
      <c r="D48" s="9" t="str">
        <f t="shared" si="6"/>
        <v>91510100MA61WTPR2G</v>
      </c>
      <c r="E48" s="9" t="str">
        <f t="shared" si="6"/>
        <v>有限责任公司</v>
      </c>
      <c r="F48" s="9" t="str">
        <f t="shared" si="6"/>
        <v>国家税务总局成都高新技术产业开发区税务局</v>
      </c>
      <c r="G48" s="9" t="str">
        <f t="shared" si="6"/>
        <v>698038262民生银行成都铁像寺支行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7">P50</f>
        <v>0</v>
      </c>
      <c r="T50" s="25">
        <f>(S50-S49)*$U$48*$K$48/360</f>
        <v>0</v>
      </c>
      <c r="U50" s="25">
        <f t="shared" ref="U50" si="8">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成都蕊源半导体科技股份有限公司</v>
      </c>
      <c r="C70" s="9" t="str">
        <f t="shared" ref="C70:G70" si="9">C48</f>
        <v>成都市市场监督管理局</v>
      </c>
      <c r="D70" s="9" t="str">
        <f t="shared" si="9"/>
        <v>91510100MA61WTPR2G</v>
      </c>
      <c r="E70" s="9" t="str">
        <f t="shared" si="9"/>
        <v>有限责任公司</v>
      </c>
      <c r="F70" s="9" t="str">
        <f t="shared" si="9"/>
        <v>国家税务总局成都高新技术产业开发区税务局</v>
      </c>
      <c r="G70" s="9" t="str">
        <f t="shared" si="9"/>
        <v>698038262民生银行成都铁像寺支行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成都蕊源半导体科技股份有限公司</v>
      </c>
      <c r="C92" s="9" t="str">
        <f t="shared" ref="C92:G92" si="10">C70</f>
        <v>成都市市场监督管理局</v>
      </c>
      <c r="D92" s="9" t="str">
        <f t="shared" si="10"/>
        <v>91510100MA61WTPR2G</v>
      </c>
      <c r="E92" s="9" t="str">
        <f t="shared" si="10"/>
        <v>有限责任公司</v>
      </c>
      <c r="F92" s="9" t="str">
        <f t="shared" si="10"/>
        <v>国家税务总局成都高新技术产业开发区税务局</v>
      </c>
      <c r="G92" s="9" t="str">
        <f t="shared" si="10"/>
        <v>698038262民生银行成都铁像寺支行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10.11</v>
      </c>
      <c r="S114" s="9"/>
      <c r="T114" s="9"/>
      <c r="U114" s="9"/>
      <c r="V114" s="9"/>
      <c r="W114" s="9"/>
      <c r="X114" s="9"/>
      <c r="Y114" s="9">
        <f>Y92+Y70+Y48+Y26++Y4</f>
        <v>10.1</v>
      </c>
      <c r="Z114" s="9"/>
      <c r="AA114" s="9"/>
      <c r="AB114" s="9"/>
    </row>
    <row r="115" spans="1:28">
      <c r="I115" t="s">
        <v>49</v>
      </c>
      <c r="K115">
        <f>IF(K114&gt;3000,K116,K114)</f>
        <v>2000</v>
      </c>
    </row>
    <row r="116" spans="1:28">
      <c r="K116" t="s">
        <v>50</v>
      </c>
    </row>
  </sheetData>
  <autoFilter ref="A3:AD11" xr:uid="{00000000-0009-0000-0000-000034000000}">
    <sortState xmlns:xlrd2="http://schemas.microsoft.com/office/spreadsheetml/2017/richdata2" ref="A4:AD11">
      <sortCondition sortBy="cellColor" ref="B3" dxfId="5"/>
    </sortState>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116"/>
  <sheetViews>
    <sheetView zoomScale="70" zoomScaleNormal="70" workbookViewId="0">
      <pane ySplit="3" topLeftCell="A4" activePane="bottomLeft" state="frozen"/>
      <selection pane="bottomLeft" activeCell="N26" sqref="N26:AB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0" max="20" width="10.33203125" customWidth="1"/>
    <col min="22" max="22" width="11.5" customWidth="1"/>
    <col min="23" max="23" width="11.83203125" customWidth="1"/>
    <col min="24" max="24" width="11.08203125" customWidth="1"/>
    <col min="25" max="25" width="11.75" customWidth="1"/>
    <col min="29" max="29" width="9" hidden="1" customWidth="1"/>
    <col min="30" max="30" width="11.75" customWidth="1"/>
  </cols>
  <sheetData>
    <row r="1" spans="1:30" ht="25">
      <c r="B1" s="154" t="str">
        <f>B4&amp;AC1</f>
        <v>成都开飞高能化学工业有限公司审计明细表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36">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521</v>
      </c>
      <c r="C4" s="9" t="s">
        <v>32</v>
      </c>
      <c r="D4" s="9" t="s">
        <v>522</v>
      </c>
      <c r="E4" s="9" t="s">
        <v>523</v>
      </c>
      <c r="F4" s="9" t="s">
        <v>91</v>
      </c>
      <c r="G4" s="9" t="s">
        <v>524</v>
      </c>
      <c r="H4" s="138" t="s">
        <v>156</v>
      </c>
      <c r="I4" s="9" t="s">
        <v>342</v>
      </c>
      <c r="J4" s="9" t="s">
        <v>84</v>
      </c>
      <c r="K4" s="9">
        <v>1000</v>
      </c>
      <c r="L4" s="9" t="s">
        <v>525</v>
      </c>
      <c r="M4" s="20" t="s">
        <v>526</v>
      </c>
      <c r="N4" s="16">
        <v>44917</v>
      </c>
      <c r="O4" s="16">
        <v>45291</v>
      </c>
      <c r="P4" s="9">
        <f>P17-N4</f>
        <v>394</v>
      </c>
      <c r="Q4" s="22">
        <f>SUM(Q5:Q25)</f>
        <v>40.96</v>
      </c>
      <c r="R4" s="139">
        <v>18.98</v>
      </c>
      <c r="S4" s="9"/>
      <c r="T4" s="22">
        <f>SUM(T5:T25)</f>
        <v>44.36</v>
      </c>
      <c r="U4" s="23">
        <v>4.0500000000000001E-2</v>
      </c>
      <c r="V4" s="16"/>
      <c r="W4" s="9" t="s">
        <v>527</v>
      </c>
      <c r="X4" s="24">
        <v>0.02</v>
      </c>
      <c r="Y4" s="9">
        <v>18.98</v>
      </c>
      <c r="Z4" s="22">
        <f>R4-Y4</f>
        <v>0</v>
      </c>
      <c r="AA4" s="22"/>
      <c r="AB4" s="9" t="s">
        <v>61</v>
      </c>
      <c r="AD4" s="28">
        <f>(O4-N4+1)*K4*X4/365</f>
        <v>20.547899999999998</v>
      </c>
    </row>
    <row r="5" spans="1:30" s="2" customFormat="1">
      <c r="A5" s="10"/>
      <c r="B5" s="10"/>
      <c r="C5" s="10"/>
      <c r="D5" s="10"/>
      <c r="E5" s="10"/>
      <c r="F5" s="10"/>
      <c r="G5" s="10"/>
      <c r="H5" s="10"/>
      <c r="I5" s="10"/>
      <c r="J5" s="10"/>
      <c r="K5" s="10"/>
      <c r="L5" s="10"/>
      <c r="M5" s="17"/>
      <c r="N5" s="18"/>
      <c r="O5" s="16">
        <v>45647</v>
      </c>
      <c r="P5" s="19">
        <v>44946</v>
      </c>
      <c r="Q5" s="25">
        <v>3.26</v>
      </c>
      <c r="R5" s="10"/>
      <c r="S5" s="19">
        <f>P5</f>
        <v>44946</v>
      </c>
      <c r="T5" s="25">
        <f>(S5-N4)/360*$U$4*$K$4</f>
        <v>3.26</v>
      </c>
      <c r="U5" s="25">
        <f>T5-Q5</f>
        <v>0</v>
      </c>
      <c r="V5" s="18">
        <v>45069</v>
      </c>
      <c r="W5" s="10">
        <v>100</v>
      </c>
      <c r="X5" s="10"/>
      <c r="Y5" s="119">
        <f>ROUNDDOWN((V5-N4)*K4*X4/365,2)</f>
        <v>8.32</v>
      </c>
      <c r="Z5" s="10"/>
      <c r="AA5" s="10"/>
      <c r="AB5" s="10"/>
    </row>
    <row r="6" spans="1:30" s="2" customFormat="1">
      <c r="A6" s="10"/>
      <c r="B6" s="10"/>
      <c r="C6" s="10"/>
      <c r="D6" s="10"/>
      <c r="E6" s="10"/>
      <c r="F6" s="10"/>
      <c r="G6" s="10"/>
      <c r="H6" s="10"/>
      <c r="I6" s="10"/>
      <c r="J6" s="10"/>
      <c r="K6" s="10"/>
      <c r="L6" s="10"/>
      <c r="M6" s="17"/>
      <c r="N6" s="18"/>
      <c r="O6" s="18"/>
      <c r="P6" s="19">
        <v>44977</v>
      </c>
      <c r="Q6" s="25">
        <v>3.49</v>
      </c>
      <c r="R6" s="10"/>
      <c r="S6" s="19">
        <f t="shared" ref="S6:S17" si="0">P6</f>
        <v>44977</v>
      </c>
      <c r="T6" s="25">
        <f>(S6-S5)*$K$4*$U$4/360</f>
        <v>3.49</v>
      </c>
      <c r="U6" s="25">
        <f>T6-Q6</f>
        <v>0</v>
      </c>
      <c r="V6" s="18">
        <v>45253</v>
      </c>
      <c r="W6" s="10">
        <v>100</v>
      </c>
      <c r="X6" s="10"/>
      <c r="Y6" s="119">
        <f>ROUNDDOWN((V6-V5)*(K4-W5)*X4/365,2)</f>
        <v>9.07</v>
      </c>
      <c r="Z6" s="10"/>
      <c r="AA6" s="10"/>
      <c r="AB6" s="10"/>
    </row>
    <row r="7" spans="1:30" s="2" customFormat="1">
      <c r="A7" s="10"/>
      <c r="B7" s="10"/>
      <c r="C7" s="10"/>
      <c r="D7" s="10"/>
      <c r="E7" s="10"/>
      <c r="F7" s="10"/>
      <c r="G7" s="10"/>
      <c r="H7" s="10"/>
      <c r="I7" s="10"/>
      <c r="J7" s="10"/>
      <c r="K7" s="10"/>
      <c r="L7" s="10"/>
      <c r="M7" s="17"/>
      <c r="N7" s="18"/>
      <c r="O7" s="18"/>
      <c r="P7" s="19">
        <v>45005</v>
      </c>
      <c r="Q7" s="25">
        <v>3.15</v>
      </c>
      <c r="R7" s="10"/>
      <c r="S7" s="19">
        <f t="shared" si="0"/>
        <v>45005</v>
      </c>
      <c r="T7" s="25">
        <f>(S7-S6)*$K$4*$U$4/360</f>
        <v>3.15</v>
      </c>
      <c r="U7" s="25">
        <f t="shared" ref="U7:U18" si="1">T7-Q7</f>
        <v>0</v>
      </c>
      <c r="V7" s="10"/>
      <c r="W7" s="10"/>
      <c r="X7" s="10"/>
      <c r="Y7" s="119">
        <f>ROUNDDOWN(((O4-V6+1)*(K4-W5-W6)*X4/365),2)</f>
        <v>1.7</v>
      </c>
      <c r="Z7" s="10"/>
      <c r="AA7" s="10"/>
      <c r="AB7" s="10"/>
    </row>
    <row r="8" spans="1:30" s="2" customFormat="1">
      <c r="A8" s="10"/>
      <c r="B8" s="10"/>
      <c r="C8" s="10"/>
      <c r="D8" s="10"/>
      <c r="E8" s="10"/>
      <c r="F8" s="10"/>
      <c r="G8" s="10"/>
      <c r="H8" s="10"/>
      <c r="I8" s="10"/>
      <c r="J8" s="10"/>
      <c r="K8" s="10"/>
      <c r="L8" s="10"/>
      <c r="M8" s="17"/>
      <c r="N8" s="18"/>
      <c r="O8" s="18"/>
      <c r="P8" s="19">
        <v>45036</v>
      </c>
      <c r="Q8" s="25">
        <v>3.49</v>
      </c>
      <c r="R8" s="10"/>
      <c r="S8" s="19">
        <f t="shared" si="0"/>
        <v>45036</v>
      </c>
      <c r="T8" s="25">
        <f t="shared" ref="T8:T17" si="2">(S8-S7)*$K$4*$U$4/360</f>
        <v>3.49</v>
      </c>
      <c r="U8" s="25">
        <f t="shared" si="1"/>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45066</v>
      </c>
      <c r="Q9" s="25">
        <v>3.38</v>
      </c>
      <c r="R9" s="10"/>
      <c r="S9" s="19">
        <f t="shared" si="0"/>
        <v>45066</v>
      </c>
      <c r="T9" s="25">
        <f t="shared" si="2"/>
        <v>3.38</v>
      </c>
      <c r="U9" s="25">
        <f t="shared" si="1"/>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45097</v>
      </c>
      <c r="Q10" s="25">
        <v>3.17</v>
      </c>
      <c r="R10" s="10"/>
      <c r="S10" s="19">
        <f t="shared" si="0"/>
        <v>45097</v>
      </c>
      <c r="T10" s="25">
        <f t="shared" si="2"/>
        <v>3.49</v>
      </c>
      <c r="U10" s="25">
        <f t="shared" si="1"/>
        <v>0.32</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45127</v>
      </c>
      <c r="Q11" s="25">
        <v>3.04</v>
      </c>
      <c r="R11" s="10"/>
      <c r="S11" s="19">
        <f t="shared" si="0"/>
        <v>45127</v>
      </c>
      <c r="T11" s="25">
        <f t="shared" si="2"/>
        <v>3.38</v>
      </c>
      <c r="U11" s="25">
        <f t="shared" si="1"/>
        <v>0.34</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45158</v>
      </c>
      <c r="Q12" s="25">
        <v>3.14</v>
      </c>
      <c r="R12" s="10"/>
      <c r="S12" s="19">
        <f t="shared" si="0"/>
        <v>45158</v>
      </c>
      <c r="T12" s="25">
        <f t="shared" si="2"/>
        <v>3.49</v>
      </c>
      <c r="U12" s="25">
        <f t="shared" si="1"/>
        <v>0.35</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45189</v>
      </c>
      <c r="Q13" s="25">
        <v>3.14</v>
      </c>
      <c r="R13" s="10"/>
      <c r="S13" s="19">
        <f t="shared" si="0"/>
        <v>45189</v>
      </c>
      <c r="T13" s="25">
        <f t="shared" si="2"/>
        <v>3.49</v>
      </c>
      <c r="U13" s="25">
        <f t="shared" si="1"/>
        <v>0.35</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45219</v>
      </c>
      <c r="Q14" s="25">
        <v>3.04</v>
      </c>
      <c r="R14" s="10"/>
      <c r="S14" s="19">
        <f t="shared" si="0"/>
        <v>45219</v>
      </c>
      <c r="T14" s="25">
        <f t="shared" si="2"/>
        <v>3.38</v>
      </c>
      <c r="U14" s="25">
        <f t="shared" si="1"/>
        <v>0.34</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45250</v>
      </c>
      <c r="Q15" s="25">
        <v>3.14</v>
      </c>
      <c r="R15" s="10"/>
      <c r="S15" s="19">
        <f t="shared" si="0"/>
        <v>45250</v>
      </c>
      <c r="T15" s="25">
        <f t="shared" si="2"/>
        <v>3.49</v>
      </c>
      <c r="U15" s="25">
        <f t="shared" si="1"/>
        <v>0.35</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45280</v>
      </c>
      <c r="Q16" s="25">
        <v>2.73</v>
      </c>
      <c r="R16" s="10"/>
      <c r="S16" s="19">
        <f t="shared" si="0"/>
        <v>45280</v>
      </c>
      <c r="T16" s="25">
        <f t="shared" si="2"/>
        <v>3.38</v>
      </c>
      <c r="U16" s="25">
        <f t="shared" si="1"/>
        <v>0.65</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45311</v>
      </c>
      <c r="Q17" s="25">
        <v>2.79</v>
      </c>
      <c r="R17" s="10"/>
      <c r="S17" s="19">
        <f t="shared" si="0"/>
        <v>45311</v>
      </c>
      <c r="T17" s="25">
        <f t="shared" si="2"/>
        <v>3.49</v>
      </c>
      <c r="U17" s="25">
        <f t="shared" si="1"/>
        <v>0.7</v>
      </c>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f t="shared" si="1"/>
        <v>0</v>
      </c>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c r="A26" s="9">
        <v>2</v>
      </c>
      <c r="B26" s="9" t="str">
        <f>B4</f>
        <v>成都开飞高能化学工业有限公司</v>
      </c>
      <c r="C26" s="9" t="str">
        <f t="shared" ref="C26:G26" si="3">C4</f>
        <v>成都高新技术产业开发区市场监督管理局</v>
      </c>
      <c r="D26" s="9" t="str">
        <f t="shared" si="3"/>
        <v>91510100709203032R</v>
      </c>
      <c r="E26" s="9" t="str">
        <f t="shared" si="3"/>
        <v>外商投资企业</v>
      </c>
      <c r="F26" s="9" t="str">
        <f t="shared" si="3"/>
        <v>成都市高新区税务局</v>
      </c>
      <c r="G26" s="9" t="str">
        <f t="shared" si="3"/>
        <v>收款账号:511601019010123011928(开户行:交通银行成都温江支行)</v>
      </c>
      <c r="H26" s="138" t="s">
        <v>156</v>
      </c>
      <c r="I26" s="9" t="s">
        <v>342</v>
      </c>
      <c r="J26" s="9" t="s">
        <v>84</v>
      </c>
      <c r="K26" s="9">
        <v>1000</v>
      </c>
      <c r="L26" s="9" t="s">
        <v>525</v>
      </c>
      <c r="M26" s="20" t="s">
        <v>528</v>
      </c>
      <c r="N26" s="16">
        <v>44964</v>
      </c>
      <c r="O26" s="16">
        <v>45291</v>
      </c>
      <c r="P26" s="9">
        <f>P38-N26</f>
        <v>347</v>
      </c>
      <c r="Q26" s="22">
        <f>SUM(Q27:Q47)</f>
        <v>39.07</v>
      </c>
      <c r="R26" s="139">
        <v>17.920000000000002</v>
      </c>
      <c r="S26" s="9"/>
      <c r="T26" s="22">
        <f>SUM(T27:T47)</f>
        <v>39.07</v>
      </c>
      <c r="U26" s="23">
        <v>4.0500000000000001E-2</v>
      </c>
      <c r="V26" s="16"/>
      <c r="W26" s="9" t="s">
        <v>42</v>
      </c>
      <c r="X26" s="24">
        <v>0.02</v>
      </c>
      <c r="Y26" s="9">
        <f>ROUNDDOWN(IF((O26-N26+1)*K26*X26/365&gt;R26,R26,(O26-N26+1)*K26*X26/365),2)</f>
        <v>17.920000000000002</v>
      </c>
      <c r="Z26" s="9">
        <f>R26-Y26</f>
        <v>0</v>
      </c>
      <c r="AA26" s="9"/>
      <c r="AB26" s="9" t="s">
        <v>61</v>
      </c>
      <c r="AD26" s="1">
        <f>(O26-N26+1)*K26*X26/365</f>
        <v>17.972602739726</v>
      </c>
    </row>
    <row r="27" spans="1:30" s="2" customFormat="1">
      <c r="A27" s="10"/>
      <c r="B27" s="10"/>
      <c r="C27" s="10"/>
      <c r="D27" s="10"/>
      <c r="E27" s="10"/>
      <c r="F27" s="10"/>
      <c r="G27" s="10"/>
      <c r="H27" s="10"/>
      <c r="I27" s="10"/>
      <c r="J27" s="10"/>
      <c r="K27" s="10"/>
      <c r="L27" s="10"/>
      <c r="M27" s="17"/>
      <c r="N27" s="18"/>
      <c r="O27" s="16">
        <v>45694</v>
      </c>
      <c r="P27" s="19">
        <v>44977</v>
      </c>
      <c r="Q27" s="25">
        <v>1.46</v>
      </c>
      <c r="R27" s="10"/>
      <c r="S27" s="19">
        <f>P27</f>
        <v>44977</v>
      </c>
      <c r="T27" s="25">
        <f>(S27-N26)/360*$U$26*$K$26</f>
        <v>1.46</v>
      </c>
      <c r="U27" s="25">
        <f>T27-Q27</f>
        <v>0</v>
      </c>
      <c r="V27" s="18"/>
      <c r="W27" s="10"/>
      <c r="X27" s="10"/>
      <c r="Y27" s="29">
        <f>ROUNDUP((V27-N26)*K26*X26/365,2)</f>
        <v>-2463.79</v>
      </c>
      <c r="Z27" s="10"/>
      <c r="AA27" s="10"/>
      <c r="AB27" s="10"/>
    </row>
    <row r="28" spans="1:30" s="2" customFormat="1">
      <c r="A28" s="10"/>
      <c r="B28" s="10"/>
      <c r="C28" s="10"/>
      <c r="D28" s="10"/>
      <c r="E28" s="10"/>
      <c r="F28" s="10"/>
      <c r="G28" s="10"/>
      <c r="H28" s="10"/>
      <c r="I28" s="10"/>
      <c r="J28" s="10"/>
      <c r="K28" s="10"/>
      <c r="L28" s="10"/>
      <c r="M28" s="17"/>
      <c r="N28" s="18"/>
      <c r="O28" s="18"/>
      <c r="P28" s="19">
        <v>45005</v>
      </c>
      <c r="Q28" s="25">
        <v>3.15</v>
      </c>
      <c r="R28" s="10"/>
      <c r="S28" s="19">
        <f t="shared" ref="S28:S38" si="4">P28</f>
        <v>45005</v>
      </c>
      <c r="T28" s="25">
        <f>(S28-S27)*$U$26*$K$26/360</f>
        <v>3.15</v>
      </c>
      <c r="U28" s="25">
        <f t="shared" ref="U28:U38" si="5">T28-Q28</f>
        <v>0</v>
      </c>
      <c r="V28" s="10"/>
      <c r="W28" s="10"/>
      <c r="X28" s="10"/>
      <c r="Y28" s="29">
        <f>ROUNDUP((O26-V27+1)*(K26-W27)*X26/365,2)</f>
        <v>2481.7600000000002</v>
      </c>
      <c r="Z28" s="10"/>
      <c r="AA28" s="10"/>
      <c r="AB28" s="10"/>
    </row>
    <row r="29" spans="1:30" s="2" customFormat="1">
      <c r="A29" s="10"/>
      <c r="B29" s="10"/>
      <c r="C29" s="10"/>
      <c r="D29" s="10"/>
      <c r="E29" s="10"/>
      <c r="F29" s="10"/>
      <c r="G29" s="10"/>
      <c r="H29" s="10"/>
      <c r="I29" s="10"/>
      <c r="J29" s="10"/>
      <c r="K29" s="10"/>
      <c r="L29" s="10"/>
      <c r="M29" s="17"/>
      <c r="N29" s="18"/>
      <c r="O29" s="18"/>
      <c r="P29" s="19">
        <v>45036</v>
      </c>
      <c r="Q29" s="25">
        <v>3.49</v>
      </c>
      <c r="R29" s="10"/>
      <c r="S29" s="19">
        <f t="shared" si="4"/>
        <v>45036</v>
      </c>
      <c r="T29" s="25">
        <f t="shared" ref="T29:T92" si="6">(S29-S28)*$U$26*$K$26/360</f>
        <v>3.49</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45066</v>
      </c>
      <c r="Q30" s="25">
        <v>3.38</v>
      </c>
      <c r="R30" s="10"/>
      <c r="S30" s="19">
        <f t="shared" si="4"/>
        <v>45066</v>
      </c>
      <c r="T30" s="25">
        <f t="shared" si="6"/>
        <v>3.38</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45097</v>
      </c>
      <c r="Q31" s="25">
        <v>3.49</v>
      </c>
      <c r="R31" s="10"/>
      <c r="S31" s="19">
        <f t="shared" si="4"/>
        <v>45097</v>
      </c>
      <c r="T31" s="25">
        <f t="shared" si="6"/>
        <v>3.49</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45127</v>
      </c>
      <c r="Q32" s="25">
        <v>3.38</v>
      </c>
      <c r="R32" s="10"/>
      <c r="S32" s="19">
        <f t="shared" si="4"/>
        <v>45127</v>
      </c>
      <c r="T32" s="25">
        <f t="shared" si="6"/>
        <v>3.38</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45158</v>
      </c>
      <c r="Q33" s="25">
        <v>3.49</v>
      </c>
      <c r="R33" s="10"/>
      <c r="S33" s="19">
        <f t="shared" si="4"/>
        <v>45158</v>
      </c>
      <c r="T33" s="25">
        <f t="shared" si="6"/>
        <v>3.49</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45189</v>
      </c>
      <c r="Q34" s="25">
        <v>3.49</v>
      </c>
      <c r="R34" s="10"/>
      <c r="S34" s="19">
        <f t="shared" si="4"/>
        <v>45189</v>
      </c>
      <c r="T34" s="25">
        <f t="shared" si="6"/>
        <v>3.49</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45219</v>
      </c>
      <c r="Q35" s="25">
        <v>3.38</v>
      </c>
      <c r="R35" s="10"/>
      <c r="S35" s="19">
        <f t="shared" si="4"/>
        <v>45219</v>
      </c>
      <c r="T35" s="25">
        <f t="shared" si="6"/>
        <v>3.38</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45250</v>
      </c>
      <c r="Q36" s="25">
        <v>3.49</v>
      </c>
      <c r="R36" s="10"/>
      <c r="S36" s="19">
        <f t="shared" si="4"/>
        <v>45250</v>
      </c>
      <c r="T36" s="25">
        <f t="shared" si="6"/>
        <v>3.49</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45280</v>
      </c>
      <c r="Q37" s="25">
        <v>3.38</v>
      </c>
      <c r="R37" s="10"/>
      <c r="S37" s="19">
        <f t="shared" si="4"/>
        <v>45280</v>
      </c>
      <c r="T37" s="25">
        <f t="shared" si="6"/>
        <v>3.38</v>
      </c>
      <c r="U37" s="25">
        <f t="shared" si="5"/>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45311</v>
      </c>
      <c r="Q38" s="25">
        <v>3.49</v>
      </c>
      <c r="R38" s="10"/>
      <c r="S38" s="19">
        <f t="shared" si="4"/>
        <v>45311</v>
      </c>
      <c r="T38" s="25">
        <f t="shared" si="6"/>
        <v>3.49</v>
      </c>
      <c r="U38" s="25">
        <f t="shared" si="5"/>
        <v>0</v>
      </c>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f t="shared" si="6"/>
        <v>0</v>
      </c>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f t="shared" si="6"/>
        <v>0</v>
      </c>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f t="shared" si="6"/>
        <v>0</v>
      </c>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f t="shared" si="6"/>
        <v>0</v>
      </c>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f t="shared" si="6"/>
        <v>0</v>
      </c>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f t="shared" si="6"/>
        <v>0</v>
      </c>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f t="shared" si="6"/>
        <v>0</v>
      </c>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f t="shared" si="6"/>
        <v>0</v>
      </c>
      <c r="U47" s="25"/>
      <c r="V47" s="10"/>
      <c r="W47" s="10"/>
      <c r="X47" s="10"/>
      <c r="Y47" s="10"/>
      <c r="Z47" s="10"/>
      <c r="AA47" s="10"/>
      <c r="AB47" s="10"/>
    </row>
    <row r="48" spans="1:28" s="1" customFormat="1" ht="112" hidden="1">
      <c r="A48" s="9">
        <v>3</v>
      </c>
      <c r="B48" s="9" t="str">
        <f>B26</f>
        <v>成都开飞高能化学工业有限公司</v>
      </c>
      <c r="C48" s="9" t="str">
        <f t="shared" ref="C48:G48" si="7">C26</f>
        <v>成都高新技术产业开发区市场监督管理局</v>
      </c>
      <c r="D48" s="9" t="str">
        <f t="shared" si="7"/>
        <v>91510100709203032R</v>
      </c>
      <c r="E48" s="9" t="str">
        <f t="shared" si="7"/>
        <v>外商投资企业</v>
      </c>
      <c r="F48" s="9" t="str">
        <f t="shared" si="7"/>
        <v>成都市高新区税务局</v>
      </c>
      <c r="G48" s="9" t="str">
        <f t="shared" si="7"/>
        <v>收款账号:511601019010123011928(开户行:交通银行成都温江支行)</v>
      </c>
      <c r="H48" s="9" t="s">
        <v>65</v>
      </c>
      <c r="I48" s="9" t="s">
        <v>57</v>
      </c>
      <c r="J48" s="9" t="s">
        <v>66</v>
      </c>
      <c r="K48" s="9"/>
      <c r="L48" s="9"/>
      <c r="M48" s="20"/>
      <c r="N48" s="16"/>
      <c r="O48" s="16"/>
      <c r="P48" s="9"/>
      <c r="Q48" s="22">
        <f>SUM(Q49:Q69)</f>
        <v>0</v>
      </c>
      <c r="R48" s="9"/>
      <c r="S48" s="9"/>
      <c r="T48" s="25">
        <f t="shared" si="6"/>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 t="shared" si="6"/>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 t="shared" si="6"/>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f t="shared" si="6"/>
        <v>0</v>
      </c>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f t="shared" si="6"/>
        <v>0</v>
      </c>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f t="shared" si="6"/>
        <v>0</v>
      </c>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f t="shared" si="6"/>
        <v>0</v>
      </c>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f t="shared" si="6"/>
        <v>0</v>
      </c>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f t="shared" si="6"/>
        <v>0</v>
      </c>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f t="shared" si="6"/>
        <v>0</v>
      </c>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f t="shared" si="6"/>
        <v>0</v>
      </c>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f t="shared" si="6"/>
        <v>0</v>
      </c>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f t="shared" si="6"/>
        <v>0</v>
      </c>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f t="shared" si="6"/>
        <v>0</v>
      </c>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f t="shared" si="6"/>
        <v>0</v>
      </c>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f t="shared" si="6"/>
        <v>0</v>
      </c>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f t="shared" si="6"/>
        <v>0</v>
      </c>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f t="shared" si="6"/>
        <v>0</v>
      </c>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f t="shared" si="6"/>
        <v>0</v>
      </c>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f t="shared" si="6"/>
        <v>0</v>
      </c>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f t="shared" si="6"/>
        <v>0</v>
      </c>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f t="shared" si="6"/>
        <v>0</v>
      </c>
      <c r="U69" s="25"/>
      <c r="V69" s="10"/>
      <c r="W69" s="10"/>
      <c r="X69" s="10"/>
      <c r="Y69" s="10"/>
      <c r="Z69" s="10"/>
      <c r="AA69" s="10"/>
      <c r="AB69" s="10"/>
    </row>
    <row r="70" spans="1:28" s="1" customFormat="1" ht="112" hidden="1">
      <c r="A70" s="9">
        <v>4</v>
      </c>
      <c r="B70" s="9" t="str">
        <f>B48</f>
        <v>成都开飞高能化学工业有限公司</v>
      </c>
      <c r="C70" s="9" t="str">
        <f t="shared" ref="C70:G70" si="10">C48</f>
        <v>成都高新技术产业开发区市场监督管理局</v>
      </c>
      <c r="D70" s="9" t="str">
        <f t="shared" si="10"/>
        <v>91510100709203032R</v>
      </c>
      <c r="E70" s="9" t="str">
        <f t="shared" si="10"/>
        <v>外商投资企业</v>
      </c>
      <c r="F70" s="9" t="str">
        <f t="shared" si="10"/>
        <v>成都市高新区税务局</v>
      </c>
      <c r="G70" s="9" t="str">
        <f t="shared" si="10"/>
        <v>收款账号:511601019010123011928(开户行:交通银行成都温江支行)</v>
      </c>
      <c r="H70" s="9"/>
      <c r="I70" s="9"/>
      <c r="J70" s="9"/>
      <c r="K70" s="9"/>
      <c r="L70" s="9"/>
      <c r="M70" s="20"/>
      <c r="N70" s="16"/>
      <c r="O70" s="16"/>
      <c r="P70" s="9"/>
      <c r="Q70" s="22">
        <f>SUM(Q71:Q91)</f>
        <v>0</v>
      </c>
      <c r="R70" s="9"/>
      <c r="S70" s="9"/>
      <c r="T70" s="25">
        <f t="shared" si="6"/>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f t="shared" si="6"/>
        <v>0</v>
      </c>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f t="shared" si="6"/>
        <v>0</v>
      </c>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f t="shared" si="6"/>
        <v>0</v>
      </c>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f t="shared" si="6"/>
        <v>0</v>
      </c>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f t="shared" si="6"/>
        <v>0</v>
      </c>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f t="shared" si="6"/>
        <v>0</v>
      </c>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f t="shared" si="6"/>
        <v>0</v>
      </c>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f t="shared" si="6"/>
        <v>0</v>
      </c>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f t="shared" si="6"/>
        <v>0</v>
      </c>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f t="shared" si="6"/>
        <v>0</v>
      </c>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f t="shared" si="6"/>
        <v>0</v>
      </c>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f t="shared" si="6"/>
        <v>0</v>
      </c>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f t="shared" si="6"/>
        <v>0</v>
      </c>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f t="shared" si="6"/>
        <v>0</v>
      </c>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f t="shared" si="6"/>
        <v>0</v>
      </c>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f t="shared" si="6"/>
        <v>0</v>
      </c>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f t="shared" si="6"/>
        <v>0</v>
      </c>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f t="shared" si="6"/>
        <v>0</v>
      </c>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f t="shared" si="6"/>
        <v>0</v>
      </c>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f t="shared" si="6"/>
        <v>0</v>
      </c>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f t="shared" si="6"/>
        <v>0</v>
      </c>
      <c r="U91" s="25"/>
      <c r="V91" s="10"/>
      <c r="W91" s="10"/>
      <c r="X91" s="10"/>
      <c r="Y91" s="10"/>
      <c r="Z91" s="10"/>
      <c r="AA91" s="10"/>
      <c r="AB91" s="10"/>
    </row>
    <row r="92" spans="1:28" s="1" customFormat="1" ht="112" hidden="1">
      <c r="A92" s="9">
        <v>5</v>
      </c>
      <c r="B92" s="9" t="str">
        <f>B70</f>
        <v>成都开飞高能化学工业有限公司</v>
      </c>
      <c r="C92" s="9" t="str">
        <f t="shared" ref="C92:G92" si="11">C70</f>
        <v>成都高新技术产业开发区市场监督管理局</v>
      </c>
      <c r="D92" s="9" t="str">
        <f t="shared" si="11"/>
        <v>91510100709203032R</v>
      </c>
      <c r="E92" s="9" t="str">
        <f t="shared" si="11"/>
        <v>外商投资企业</v>
      </c>
      <c r="F92" s="9" t="str">
        <f t="shared" si="11"/>
        <v>成都市高新区税务局</v>
      </c>
      <c r="G92" s="9" t="str">
        <f t="shared" si="11"/>
        <v>收款账号:511601019010123011928(开户行:交通银行成都温江支行)</v>
      </c>
      <c r="H92" s="9"/>
      <c r="I92" s="9"/>
      <c r="J92" s="9"/>
      <c r="K92" s="9"/>
      <c r="L92" s="9"/>
      <c r="M92" s="20"/>
      <c r="N92" s="16"/>
      <c r="O92" s="16"/>
      <c r="P92" s="9"/>
      <c r="Q92" s="22">
        <f>SUM(Q93:Q113)</f>
        <v>0</v>
      </c>
      <c r="R92" s="9"/>
      <c r="S92" s="9"/>
      <c r="T92" s="25">
        <f t="shared" si="6"/>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f t="shared" ref="T93:T113" si="12">(S93-S92)*$U$26*$K$26/360</f>
        <v>0</v>
      </c>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f t="shared" si="12"/>
        <v>0</v>
      </c>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f t="shared" si="12"/>
        <v>0</v>
      </c>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f t="shared" si="12"/>
        <v>0</v>
      </c>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f t="shared" si="12"/>
        <v>0</v>
      </c>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f t="shared" si="12"/>
        <v>0</v>
      </c>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f t="shared" si="12"/>
        <v>0</v>
      </c>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f t="shared" si="12"/>
        <v>0</v>
      </c>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f t="shared" si="12"/>
        <v>0</v>
      </c>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f t="shared" si="12"/>
        <v>0</v>
      </c>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f t="shared" si="12"/>
        <v>0</v>
      </c>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f t="shared" si="12"/>
        <v>0</v>
      </c>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f t="shared" si="12"/>
        <v>0</v>
      </c>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f t="shared" si="12"/>
        <v>0</v>
      </c>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f t="shared" si="12"/>
        <v>0</v>
      </c>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f t="shared" si="12"/>
        <v>0</v>
      </c>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f t="shared" si="12"/>
        <v>0</v>
      </c>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f t="shared" si="12"/>
        <v>0</v>
      </c>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f t="shared" si="12"/>
        <v>0</v>
      </c>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f t="shared" si="12"/>
        <v>0</v>
      </c>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f t="shared" si="12"/>
        <v>0</v>
      </c>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36.9</v>
      </c>
      <c r="S114" s="9"/>
      <c r="T114" s="9"/>
      <c r="U114" s="9"/>
      <c r="V114" s="9"/>
      <c r="W114" s="9"/>
      <c r="X114" s="9"/>
      <c r="Y114" s="9">
        <f>Y92+Y70+Y48+Y26++Y4</f>
        <v>36.9</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116"/>
  <sheetViews>
    <sheetView topLeftCell="G1" zoomScale="70" zoomScaleNormal="70" workbookViewId="0">
      <pane ySplit="3" topLeftCell="A4" activePane="bottomLeft" state="frozen"/>
      <selection pane="bottomLeft" activeCell="B4" sqref="B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四川省华盾防务科技股份有限公司审计明细表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529</v>
      </c>
      <c r="C4" s="9" t="s">
        <v>32</v>
      </c>
      <c r="D4" s="9" t="s">
        <v>530</v>
      </c>
      <c r="E4" s="9" t="s">
        <v>54</v>
      </c>
      <c r="F4" s="9" t="s">
        <v>35</v>
      </c>
      <c r="G4" s="9" t="s">
        <v>531</v>
      </c>
      <c r="H4" s="9" t="s">
        <v>156</v>
      </c>
      <c r="I4" s="9" t="s">
        <v>70</v>
      </c>
      <c r="J4" s="9" t="s">
        <v>39</v>
      </c>
      <c r="K4" s="9">
        <v>2000</v>
      </c>
      <c r="L4" s="9" t="s">
        <v>532</v>
      </c>
      <c r="M4" s="20" t="s">
        <v>533</v>
      </c>
      <c r="N4" s="16">
        <v>44907</v>
      </c>
      <c r="O4" s="16">
        <v>45268</v>
      </c>
      <c r="P4" s="9">
        <f>P16-N4</f>
        <v>361</v>
      </c>
      <c r="Q4" s="22">
        <f>SUM(Q5:Q25)</f>
        <v>77.23</v>
      </c>
      <c r="R4" s="22">
        <v>40</v>
      </c>
      <c r="S4" s="9"/>
      <c r="T4" s="22">
        <f>SUM(T5:T25)</f>
        <v>77.23</v>
      </c>
      <c r="U4" s="23">
        <v>3.85E-2</v>
      </c>
      <c r="V4" s="16"/>
      <c r="W4" s="9" t="s">
        <v>42</v>
      </c>
      <c r="X4" s="24">
        <v>0.02</v>
      </c>
      <c r="Y4" s="9">
        <f>ROUNDDOWN(IF((O4-N4+1)*K4*X4/365&gt;R4,R4,(O4-N4+1)*K4*X4/365),2)</f>
        <v>39.67</v>
      </c>
      <c r="Z4" s="22">
        <f>R4-Y4</f>
        <v>0.33</v>
      </c>
      <c r="AA4" s="22" t="s">
        <v>485</v>
      </c>
      <c r="AB4" s="9" t="s">
        <v>61</v>
      </c>
      <c r="AD4" s="28">
        <f>(O4-N4+1)*K4*X4/365</f>
        <v>39.671199999999999</v>
      </c>
    </row>
    <row r="5" spans="1:30" s="2" customFormat="1">
      <c r="A5" s="10"/>
      <c r="B5" s="10"/>
      <c r="C5" s="10"/>
      <c r="D5" s="10"/>
      <c r="E5" s="10"/>
      <c r="F5" s="10"/>
      <c r="G5" s="10"/>
      <c r="H5" s="10"/>
      <c r="I5" s="10"/>
      <c r="J5" s="10"/>
      <c r="K5" s="10"/>
      <c r="L5" s="10"/>
      <c r="M5" s="17"/>
      <c r="N5" s="18"/>
      <c r="O5" s="18"/>
      <c r="P5" s="19">
        <v>44947</v>
      </c>
      <c r="Q5" s="25">
        <v>8.56</v>
      </c>
      <c r="R5" s="10"/>
      <c r="S5" s="19">
        <f>P5</f>
        <v>44947</v>
      </c>
      <c r="T5" s="25">
        <f>(S5-N4)/360*$U$4*$K$4</f>
        <v>8.56</v>
      </c>
      <c r="U5" s="25">
        <f>T5-Q5</f>
        <v>0</v>
      </c>
      <c r="V5" s="18"/>
      <c r="W5" s="10"/>
      <c r="X5" s="10"/>
      <c r="Y5" s="10">
        <f>ROUNDDOWN((V5-N4)*K4*X4/365,2)</f>
        <v>-4921.3100000000004</v>
      </c>
      <c r="Z5" s="10"/>
      <c r="AA5" s="10"/>
      <c r="AB5" s="10"/>
    </row>
    <row r="6" spans="1:30" s="2" customFormat="1">
      <c r="A6" s="10"/>
      <c r="B6" s="10"/>
      <c r="C6" s="10"/>
      <c r="D6" s="10"/>
      <c r="E6" s="10"/>
      <c r="F6" s="10"/>
      <c r="G6" s="10"/>
      <c r="H6" s="10"/>
      <c r="I6" s="10"/>
      <c r="J6" s="10"/>
      <c r="K6" s="10"/>
      <c r="L6" s="10"/>
      <c r="M6" s="17"/>
      <c r="N6" s="18"/>
      <c r="O6" s="18"/>
      <c r="P6" s="19">
        <v>44978</v>
      </c>
      <c r="Q6" s="25">
        <v>6.63</v>
      </c>
      <c r="R6" s="10"/>
      <c r="S6" s="19">
        <f t="shared" ref="S6:S16" si="0">P6</f>
        <v>44978</v>
      </c>
      <c r="T6" s="25">
        <f>(S6-S5)*$K$4*$U$4/360</f>
        <v>6.63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45006</v>
      </c>
      <c r="Q7" s="25">
        <v>5.99</v>
      </c>
      <c r="R7" s="10"/>
      <c r="S7" s="19">
        <f t="shared" si="0"/>
        <v>45006</v>
      </c>
      <c r="T7" s="25">
        <f t="shared" ref="T7:T15" si="1">(S7-S6)*$K$4*$U$4/360</f>
        <v>5.99</v>
      </c>
      <c r="U7" s="25">
        <f t="shared" ref="U7:U15"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45037</v>
      </c>
      <c r="Q8" s="25">
        <v>6.63</v>
      </c>
      <c r="R8" s="10"/>
      <c r="S8" s="19">
        <f t="shared" si="0"/>
        <v>45037</v>
      </c>
      <c r="T8" s="25">
        <f t="shared" si="1"/>
        <v>6.63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45067</v>
      </c>
      <c r="Q9" s="25">
        <v>6.42</v>
      </c>
      <c r="R9" s="10"/>
      <c r="S9" s="19">
        <f t="shared" si="0"/>
        <v>45067</v>
      </c>
      <c r="T9" s="25">
        <f t="shared" si="1"/>
        <v>6.42</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45098</v>
      </c>
      <c r="Q10" s="25">
        <v>6.63</v>
      </c>
      <c r="R10" s="10"/>
      <c r="S10" s="19">
        <f t="shared" si="0"/>
        <v>45098</v>
      </c>
      <c r="T10" s="25">
        <f t="shared" si="1"/>
        <v>6.63</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45128</v>
      </c>
      <c r="Q11" s="25">
        <v>6.42</v>
      </c>
      <c r="R11" s="10"/>
      <c r="S11" s="19">
        <f t="shared" si="0"/>
        <v>45128</v>
      </c>
      <c r="T11" s="25">
        <f t="shared" si="1"/>
        <v>6.42</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45159</v>
      </c>
      <c r="Q12" s="25">
        <v>6.63</v>
      </c>
      <c r="R12" s="10"/>
      <c r="S12" s="19">
        <f t="shared" si="0"/>
        <v>45159</v>
      </c>
      <c r="T12" s="25">
        <f t="shared" si="1"/>
        <v>6.63</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45190</v>
      </c>
      <c r="Q13" s="25">
        <v>6.63</v>
      </c>
      <c r="R13" s="10"/>
      <c r="S13" s="19">
        <f t="shared" si="0"/>
        <v>45190</v>
      </c>
      <c r="T13" s="25">
        <f t="shared" si="1"/>
        <v>6.63</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45220</v>
      </c>
      <c r="Q14" s="25">
        <v>6.42</v>
      </c>
      <c r="R14" s="10"/>
      <c r="S14" s="19">
        <f t="shared" si="0"/>
        <v>45220</v>
      </c>
      <c r="T14" s="25">
        <f t="shared" si="1"/>
        <v>6.42</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45251</v>
      </c>
      <c r="Q15" s="25">
        <v>6.63</v>
      </c>
      <c r="R15" s="10"/>
      <c r="S15" s="19">
        <f t="shared" si="0"/>
        <v>45251</v>
      </c>
      <c r="T15" s="25">
        <f t="shared" si="1"/>
        <v>6.63</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45268</v>
      </c>
      <c r="Q16" s="25">
        <v>3.64</v>
      </c>
      <c r="R16" s="10"/>
      <c r="S16" s="19">
        <f t="shared" si="0"/>
        <v>45268</v>
      </c>
      <c r="T16" s="25">
        <f t="shared" ref="T16" si="3">(S16-S15)*$K$4*$U$4/360</f>
        <v>3.64</v>
      </c>
      <c r="U16" s="25">
        <f t="shared" ref="U16" si="4">T16-Q16</f>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四川省华盾防务科技股份有限公司</v>
      </c>
      <c r="C26" s="9" t="str">
        <f t="shared" ref="C26:G26" si="5">C4</f>
        <v>成都高新技术产业开发区市场监督管理局</v>
      </c>
      <c r="D26" s="9" t="str">
        <f t="shared" si="5"/>
        <v>91510100737729605K</v>
      </c>
      <c r="E26" s="9" t="str">
        <f t="shared" si="5"/>
        <v>股份有限公司</v>
      </c>
      <c r="F26" s="9" t="str">
        <f t="shared" si="5"/>
        <v>国家税务总局成都高新技术产业开发区税务局</v>
      </c>
      <c r="G26" s="9" t="str">
        <f t="shared" si="5"/>
        <v>成都银行西区支行 1001300000667420</v>
      </c>
      <c r="H26" s="9"/>
      <c r="I26" s="9"/>
      <c r="J26" s="9"/>
      <c r="K26" s="9"/>
      <c r="L26" s="9"/>
      <c r="M26" s="20"/>
      <c r="N26" s="16"/>
      <c r="O26" s="16"/>
      <c r="P26" s="9">
        <f>P44-N26</f>
        <v>0</v>
      </c>
      <c r="Q26" s="22"/>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6">P28</f>
        <v>0</v>
      </c>
      <c r="T28" s="25">
        <f>(S28-S27)*$U$26*$K$26/360</f>
        <v>0</v>
      </c>
      <c r="U28" s="25">
        <f t="shared" ref="U28:U37" si="7">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6"/>
        <v>0</v>
      </c>
      <c r="T29" s="25">
        <f t="shared" ref="T29:T36" si="8">(S29-S28)*$U$26*$K$26/360</f>
        <v>0</v>
      </c>
      <c r="U29" s="25">
        <f t="shared" si="7"/>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6"/>
        <v>0</v>
      </c>
      <c r="T30" s="25">
        <f t="shared" si="8"/>
        <v>0</v>
      </c>
      <c r="U30" s="25">
        <f t="shared" si="7"/>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6"/>
        <v>0</v>
      </c>
      <c r="T31" s="25">
        <f t="shared" si="8"/>
        <v>0</v>
      </c>
      <c r="U31" s="25">
        <f t="shared" si="7"/>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6"/>
        <v>0</v>
      </c>
      <c r="T32" s="25">
        <f t="shared" si="8"/>
        <v>0</v>
      </c>
      <c r="U32" s="25">
        <f t="shared" si="7"/>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6"/>
        <v>0</v>
      </c>
      <c r="T33" s="25">
        <f t="shared" si="8"/>
        <v>0</v>
      </c>
      <c r="U33" s="25">
        <f t="shared" si="7"/>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6"/>
        <v>0</v>
      </c>
      <c r="T34" s="25">
        <f t="shared" si="8"/>
        <v>0</v>
      </c>
      <c r="U34" s="25">
        <f t="shared" si="7"/>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6"/>
        <v>0</v>
      </c>
      <c r="T35" s="25">
        <f t="shared" si="8"/>
        <v>0</v>
      </c>
      <c r="U35" s="25">
        <f t="shared" si="7"/>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6"/>
        <v>0</v>
      </c>
      <c r="T36" s="25">
        <f t="shared" si="8"/>
        <v>0</v>
      </c>
      <c r="U36" s="25">
        <f t="shared" si="7"/>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7"/>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四川省华盾防务科技股份有限公司</v>
      </c>
      <c r="C48" s="9" t="str">
        <f t="shared" ref="C48:G48" si="9">C26</f>
        <v>成都高新技术产业开发区市场监督管理局</v>
      </c>
      <c r="D48" s="9" t="str">
        <f t="shared" si="9"/>
        <v>91510100737729605K</v>
      </c>
      <c r="E48" s="9" t="str">
        <f t="shared" si="9"/>
        <v>股份有限公司</v>
      </c>
      <c r="F48" s="9" t="str">
        <f t="shared" si="9"/>
        <v>国家税务总局成都高新技术产业开发区税务局</v>
      </c>
      <c r="G48" s="9" t="str">
        <f t="shared" si="9"/>
        <v>成都银行西区支行 1001300000667420</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0">P50</f>
        <v>0</v>
      </c>
      <c r="T50" s="25">
        <f>(S50-S49)*$U$48*$K$48/360</f>
        <v>0</v>
      </c>
      <c r="U50" s="25">
        <f t="shared" ref="U50" si="11">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四川省华盾防务科技股份有限公司</v>
      </c>
      <c r="C70" s="9" t="str">
        <f t="shared" ref="C70:G70" si="12">C48</f>
        <v>成都高新技术产业开发区市场监督管理局</v>
      </c>
      <c r="D70" s="9" t="str">
        <f t="shared" si="12"/>
        <v>91510100737729605K</v>
      </c>
      <c r="E70" s="9" t="str">
        <f t="shared" si="12"/>
        <v>股份有限公司</v>
      </c>
      <c r="F70" s="9" t="str">
        <f t="shared" si="12"/>
        <v>国家税务总局成都高新技术产业开发区税务局</v>
      </c>
      <c r="G70" s="9" t="str">
        <f t="shared" si="12"/>
        <v>成都银行西区支行 1001300000667420</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四川省华盾防务科技股份有限公司</v>
      </c>
      <c r="C92" s="9" t="str">
        <f t="shared" ref="C92:G92" si="13">C70</f>
        <v>成都高新技术产业开发区市场监督管理局</v>
      </c>
      <c r="D92" s="9" t="str">
        <f t="shared" si="13"/>
        <v>91510100737729605K</v>
      </c>
      <c r="E92" s="9" t="str">
        <f t="shared" si="13"/>
        <v>股份有限公司</v>
      </c>
      <c r="F92" s="9" t="str">
        <f t="shared" si="13"/>
        <v>国家税务总局成都高新技术产业开发区税务局</v>
      </c>
      <c r="G92" s="9" t="str">
        <f t="shared" si="13"/>
        <v>成都银行西区支行 1001300000667420</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22">
        <f>R92+R70+R48+R26+R4</f>
        <v>40</v>
      </c>
      <c r="S114" s="9"/>
      <c r="T114" s="9"/>
      <c r="U114" s="9"/>
      <c r="V114" s="9"/>
      <c r="W114" s="9"/>
      <c r="X114" s="9"/>
      <c r="Y114" s="9">
        <f>Y92+Y70+Y48+Y26++Y4</f>
        <v>39.67</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D116"/>
  <sheetViews>
    <sheetView topLeftCell="H1" zoomScale="70" zoomScaleNormal="70" workbookViewId="0">
      <pane ySplit="3" topLeftCell="A4" activePane="bottomLeft" state="frozen"/>
      <selection pane="bottomLeft" activeCell="B4" sqref="B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成都特来电新能源有限公司审计明细表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68">
      <c r="A4" s="9">
        <v>1</v>
      </c>
      <c r="B4" s="9" t="s">
        <v>534</v>
      </c>
      <c r="C4" s="9" t="s">
        <v>52</v>
      </c>
      <c r="D4" s="9">
        <v>9.1510100350525901E+17</v>
      </c>
      <c r="E4" s="9" t="s">
        <v>535</v>
      </c>
      <c r="F4" s="9" t="s">
        <v>35</v>
      </c>
      <c r="G4" s="9" t="s">
        <v>536</v>
      </c>
      <c r="H4" s="9" t="s">
        <v>71</v>
      </c>
      <c r="I4" s="9" t="s">
        <v>537</v>
      </c>
      <c r="J4" s="9" t="s">
        <v>58</v>
      </c>
      <c r="K4" s="9">
        <v>1000</v>
      </c>
      <c r="L4" s="9" t="s">
        <v>538</v>
      </c>
      <c r="M4" s="20" t="s">
        <v>539</v>
      </c>
      <c r="N4" s="16">
        <v>44893</v>
      </c>
      <c r="O4" s="16">
        <v>45257</v>
      </c>
      <c r="P4" s="9">
        <f>P17-N4</f>
        <v>364</v>
      </c>
      <c r="Q4" s="22">
        <f>SUM(Q5:Q25)</f>
        <v>37.43</v>
      </c>
      <c r="R4" s="22">
        <v>15</v>
      </c>
      <c r="S4" s="9"/>
      <c r="T4" s="22">
        <f>SUM(T5:T25)</f>
        <v>37.43</v>
      </c>
      <c r="U4" s="23">
        <v>3.6999999999999998E-2</v>
      </c>
      <c r="V4" s="16"/>
      <c r="W4" s="9" t="s">
        <v>42</v>
      </c>
      <c r="X4" s="24">
        <v>1.4999999999999999E-2</v>
      </c>
      <c r="Y4" s="9">
        <f>ROUNDDOWN(IF((O4-N4+1)*K4*X4/365&gt;R4,R4,(O4-N4+1)*K4*X4/365),2)</f>
        <v>15</v>
      </c>
      <c r="Z4" s="22">
        <f>R4-Y4</f>
        <v>0</v>
      </c>
      <c r="AA4" s="22"/>
      <c r="AB4" s="9" t="s">
        <v>61</v>
      </c>
      <c r="AD4" s="28">
        <f>(O4-N4+1)*K4*X4/365</f>
        <v>15</v>
      </c>
    </row>
    <row r="5" spans="1:30" s="2" customFormat="1" ht="56">
      <c r="A5" s="10"/>
      <c r="B5" s="10"/>
      <c r="C5" s="10"/>
      <c r="D5" s="10"/>
      <c r="E5" s="10"/>
      <c r="F5" s="10"/>
      <c r="G5" s="10"/>
      <c r="H5" s="10"/>
      <c r="I5" s="10"/>
      <c r="J5" s="10"/>
      <c r="K5" s="10"/>
      <c r="L5" s="10"/>
      <c r="M5" s="17" t="s">
        <v>540</v>
      </c>
      <c r="N5" s="18"/>
      <c r="O5" s="18"/>
      <c r="P5" s="19">
        <v>44915</v>
      </c>
      <c r="Q5" s="25">
        <v>2.2599999999999998</v>
      </c>
      <c r="R5" s="10"/>
      <c r="S5" s="19">
        <f>P5</f>
        <v>44915</v>
      </c>
      <c r="T5" s="25">
        <f>(S5-N4)/360*$U$4*$K$4</f>
        <v>2.2599999999999998</v>
      </c>
      <c r="U5" s="25">
        <f>T5-Q5</f>
        <v>0</v>
      </c>
      <c r="V5" s="18"/>
      <c r="W5" s="10"/>
      <c r="X5" s="10"/>
      <c r="Y5" s="10">
        <f>ROUNDDOWN((V5-N4)*K4*X4/365,2)</f>
        <v>-1844.91</v>
      </c>
      <c r="Z5" s="10"/>
      <c r="AA5" s="10"/>
      <c r="AB5" s="10"/>
    </row>
    <row r="6" spans="1:30" s="2" customFormat="1">
      <c r="A6" s="10"/>
      <c r="B6" s="10"/>
      <c r="C6" s="10"/>
      <c r="D6" s="10"/>
      <c r="E6" s="10"/>
      <c r="F6" s="10"/>
      <c r="G6" s="10"/>
      <c r="H6" s="10"/>
      <c r="I6" s="10"/>
      <c r="J6" s="10"/>
      <c r="K6" s="10"/>
      <c r="L6" s="10"/>
      <c r="M6" s="17"/>
      <c r="N6" s="18"/>
      <c r="O6" s="18"/>
      <c r="P6" s="19">
        <v>44946</v>
      </c>
      <c r="Q6" s="25">
        <v>3.19</v>
      </c>
      <c r="R6" s="10"/>
      <c r="S6" s="19">
        <f t="shared" ref="S6:S17" si="0">P6</f>
        <v>44946</v>
      </c>
      <c r="T6" s="25">
        <f>(S6-S5)*$K$4*$U$4/360</f>
        <v>3.19</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44977</v>
      </c>
      <c r="Q7" s="25">
        <v>3.19</v>
      </c>
      <c r="R7" s="10"/>
      <c r="S7" s="19">
        <f t="shared" si="0"/>
        <v>44977</v>
      </c>
      <c r="T7" s="25">
        <f t="shared" ref="T7:T17" si="1">(S7-S6)*$K$4*$U$4/360</f>
        <v>3.19</v>
      </c>
      <c r="U7" s="25">
        <f t="shared" ref="U7:U17"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45005</v>
      </c>
      <c r="Q8" s="25">
        <v>2.88</v>
      </c>
      <c r="R8" s="10"/>
      <c r="S8" s="19">
        <f t="shared" si="0"/>
        <v>45005</v>
      </c>
      <c r="T8" s="25">
        <f t="shared" si="1"/>
        <v>2.88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45036</v>
      </c>
      <c r="Q9" s="25">
        <v>3.19</v>
      </c>
      <c r="R9" s="10"/>
      <c r="S9" s="19">
        <f t="shared" si="0"/>
        <v>45036</v>
      </c>
      <c r="T9" s="25">
        <f t="shared" si="1"/>
        <v>3.19</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45066</v>
      </c>
      <c r="Q10" s="25">
        <v>3.08</v>
      </c>
      <c r="R10" s="10"/>
      <c r="S10" s="19">
        <f t="shared" si="0"/>
        <v>45066</v>
      </c>
      <c r="T10" s="25">
        <f t="shared" si="1"/>
        <v>3.08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45097</v>
      </c>
      <c r="Q11" s="25">
        <v>3.19</v>
      </c>
      <c r="R11" s="10"/>
      <c r="S11" s="19">
        <f t="shared" si="0"/>
        <v>45097</v>
      </c>
      <c r="T11" s="25">
        <f t="shared" si="1"/>
        <v>3.19</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45127</v>
      </c>
      <c r="Q12" s="25">
        <v>3.08</v>
      </c>
      <c r="R12" s="10"/>
      <c r="S12" s="19">
        <f t="shared" si="0"/>
        <v>45127</v>
      </c>
      <c r="T12" s="25">
        <f t="shared" si="1"/>
        <v>3.08</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45158</v>
      </c>
      <c r="Q13" s="25">
        <v>3.19</v>
      </c>
      <c r="R13" s="10"/>
      <c r="S13" s="19">
        <f t="shared" si="0"/>
        <v>45158</v>
      </c>
      <c r="T13" s="25">
        <f t="shared" si="1"/>
        <v>3.19</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45189</v>
      </c>
      <c r="Q14" s="25">
        <v>3.19</v>
      </c>
      <c r="R14" s="10"/>
      <c r="S14" s="19">
        <f t="shared" si="0"/>
        <v>45189</v>
      </c>
      <c r="T14" s="25">
        <f t="shared" si="1"/>
        <v>3.19</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45219</v>
      </c>
      <c r="Q15" s="25">
        <v>3.08</v>
      </c>
      <c r="R15" s="10"/>
      <c r="S15" s="19">
        <f t="shared" si="0"/>
        <v>45219</v>
      </c>
      <c r="T15" s="25">
        <f t="shared" si="1"/>
        <v>3.08</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45250</v>
      </c>
      <c r="Q16" s="25">
        <v>3.19</v>
      </c>
      <c r="R16" s="10"/>
      <c r="S16" s="19">
        <f t="shared" si="0"/>
        <v>45250</v>
      </c>
      <c r="T16" s="25">
        <f t="shared" si="1"/>
        <v>3.19</v>
      </c>
      <c r="U16" s="25">
        <f t="shared" si="2"/>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v>45257</v>
      </c>
      <c r="Q17" s="25">
        <v>0.72</v>
      </c>
      <c r="R17" s="10"/>
      <c r="S17" s="19">
        <f t="shared" si="0"/>
        <v>45257</v>
      </c>
      <c r="T17" s="25">
        <f t="shared" si="1"/>
        <v>0.72</v>
      </c>
      <c r="U17" s="25">
        <f t="shared" si="2"/>
        <v>0</v>
      </c>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68" hidden="1">
      <c r="A26" s="9">
        <v>2</v>
      </c>
      <c r="B26" s="9" t="str">
        <f>B4</f>
        <v>成都特来电新能源有限公司</v>
      </c>
      <c r="C26" s="9" t="str">
        <f t="shared" ref="C26:G26" si="3">C4</f>
        <v>成都市市场监督管理局</v>
      </c>
      <c r="D26" s="9">
        <f t="shared" si="3"/>
        <v>9.1510100350525901E+17</v>
      </c>
      <c r="E26" s="9" t="str">
        <f t="shared" si="3"/>
        <v>国有混合</v>
      </c>
      <c r="F26" s="9" t="str">
        <f t="shared" si="3"/>
        <v>国家税务总局成都高新技术产业开发区税务局</v>
      </c>
      <c r="G26" s="9" t="str">
        <f t="shared" si="3"/>
        <v>户名：成都特来电新能源有限公司开户行：成都农村商业银行股份有限公司大源支行账号：1000060006541960</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68" hidden="1">
      <c r="A48" s="9">
        <v>3</v>
      </c>
      <c r="B48" s="9" t="str">
        <f>B26</f>
        <v>成都特来电新能源有限公司</v>
      </c>
      <c r="C48" s="9" t="str">
        <f t="shared" ref="C48:G48" si="7">C26</f>
        <v>成都市市场监督管理局</v>
      </c>
      <c r="D48" s="9">
        <f t="shared" si="7"/>
        <v>9.1510100350525901E+17</v>
      </c>
      <c r="E48" s="9" t="str">
        <f t="shared" si="7"/>
        <v>国有混合</v>
      </c>
      <c r="F48" s="9" t="str">
        <f t="shared" si="7"/>
        <v>国家税务总局成都高新技术产业开发区税务局</v>
      </c>
      <c r="G48" s="9" t="str">
        <f t="shared" si="7"/>
        <v>户名：成都特来电新能源有限公司开户行：成都农村商业银行股份有限公司大源支行账号：1000060006541960</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68" hidden="1">
      <c r="A70" s="9">
        <v>4</v>
      </c>
      <c r="B70" s="9" t="str">
        <f>B48</f>
        <v>成都特来电新能源有限公司</v>
      </c>
      <c r="C70" s="9" t="str">
        <f t="shared" ref="C70:G70" si="10">C48</f>
        <v>成都市市场监督管理局</v>
      </c>
      <c r="D70" s="9">
        <f t="shared" si="10"/>
        <v>9.1510100350525901E+17</v>
      </c>
      <c r="E70" s="9" t="str">
        <f t="shared" si="10"/>
        <v>国有混合</v>
      </c>
      <c r="F70" s="9" t="str">
        <f t="shared" si="10"/>
        <v>国家税务总局成都高新技术产业开发区税务局</v>
      </c>
      <c r="G70" s="9" t="str">
        <f t="shared" si="10"/>
        <v>户名：成都特来电新能源有限公司开户行：成都农村商业银行股份有限公司大源支行账号：1000060006541960</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68" hidden="1">
      <c r="A92" s="9">
        <v>5</v>
      </c>
      <c r="B92" s="9" t="str">
        <f>B70</f>
        <v>成都特来电新能源有限公司</v>
      </c>
      <c r="C92" s="9" t="str">
        <f t="shared" ref="C92:G92" si="11">C70</f>
        <v>成都市市场监督管理局</v>
      </c>
      <c r="D92" s="9">
        <f t="shared" si="11"/>
        <v>9.1510100350525901E+17</v>
      </c>
      <c r="E92" s="9" t="str">
        <f t="shared" si="11"/>
        <v>国有混合</v>
      </c>
      <c r="F92" s="9" t="str">
        <f t="shared" si="11"/>
        <v>国家税务总局成都高新技术产业开发区税务局</v>
      </c>
      <c r="G92" s="9" t="str">
        <f t="shared" si="11"/>
        <v>户名：成都特来电新能源有限公司开户行：成都农村商业银行股份有限公司大源支行账号：1000060006541960</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15</v>
      </c>
      <c r="S114" s="9"/>
      <c r="T114" s="9"/>
      <c r="U114" s="9"/>
      <c r="V114" s="9"/>
      <c r="W114" s="9"/>
      <c r="X114" s="9"/>
      <c r="Y114" s="9">
        <f>Y92+Y70+Y48+Y26++Y4</f>
        <v>15</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D116"/>
  <sheetViews>
    <sheetView topLeftCell="I1" zoomScale="80" zoomScaleNormal="80" workbookViewId="0">
      <pane ySplit="3" topLeftCell="A4" activePane="bottomLeft" state="frozen"/>
      <selection pane="bottomLeft" activeCell="B4" sqref="B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成都利普芯微电子有限公司审计明细表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541</v>
      </c>
      <c r="C4" s="9" t="s">
        <v>186</v>
      </c>
      <c r="D4" s="9" t="s">
        <v>542</v>
      </c>
      <c r="E4" s="9" t="s">
        <v>543</v>
      </c>
      <c r="F4" s="9" t="s">
        <v>291</v>
      </c>
      <c r="G4" s="9" t="s">
        <v>544</v>
      </c>
      <c r="H4" s="9" t="s">
        <v>71</v>
      </c>
      <c r="I4" s="9" t="s">
        <v>545</v>
      </c>
      <c r="J4" s="9" t="s">
        <v>84</v>
      </c>
      <c r="K4" s="9">
        <v>1000</v>
      </c>
      <c r="L4" s="9" t="s">
        <v>546</v>
      </c>
      <c r="M4" s="20" t="s">
        <v>547</v>
      </c>
      <c r="N4" s="16">
        <v>45015</v>
      </c>
      <c r="O4" s="16">
        <v>45291</v>
      </c>
      <c r="P4" s="9">
        <f>P14-N4</f>
        <v>297</v>
      </c>
      <c r="Q4" s="22">
        <f>SUM(Q5:Q25)</f>
        <v>29.53</v>
      </c>
      <c r="R4" s="22">
        <v>11.383599999999999</v>
      </c>
      <c r="S4" s="9"/>
      <c r="T4" s="22">
        <f>SUM(T5:T25)</f>
        <v>30.09</v>
      </c>
      <c r="U4" s="23">
        <v>3.6499999999999998E-2</v>
      </c>
      <c r="V4" s="16"/>
      <c r="W4" s="9" t="s">
        <v>42</v>
      </c>
      <c r="X4" s="24">
        <v>1.4999999999999999E-2</v>
      </c>
      <c r="Y4" s="9">
        <f>ROUNDDOWN(IF((O4-N4+1)*K4*X4/365&gt;R4,R4,(O4-N4+1)*K4*X4/365),2)</f>
        <v>11.38</v>
      </c>
      <c r="Z4" s="22">
        <f>R4-Y4</f>
        <v>0</v>
      </c>
      <c r="AA4" s="22"/>
      <c r="AB4" s="9" t="s">
        <v>61</v>
      </c>
      <c r="AD4" s="28">
        <f>(O4-N4+1)*K4*X4/365</f>
        <v>11.383599999999999</v>
      </c>
    </row>
    <row r="5" spans="1:30" s="2" customFormat="1">
      <c r="A5" s="10"/>
      <c r="B5" s="10"/>
      <c r="C5" s="10"/>
      <c r="D5" s="10"/>
      <c r="E5" s="10"/>
      <c r="F5" s="10"/>
      <c r="G5" s="10"/>
      <c r="H5" s="10"/>
      <c r="I5" s="10"/>
      <c r="J5" s="10"/>
      <c r="K5" s="10"/>
      <c r="L5" s="10"/>
      <c r="M5" s="17"/>
      <c r="N5" s="18"/>
      <c r="O5" s="16">
        <v>45743</v>
      </c>
      <c r="P5" s="19">
        <v>45037</v>
      </c>
      <c r="Q5" s="25">
        <v>2.23</v>
      </c>
      <c r="R5" s="10"/>
      <c r="S5" s="19">
        <f>P5</f>
        <v>45037</v>
      </c>
      <c r="T5" s="25">
        <f>(S5-N4)/360*$U$4*$K$4</f>
        <v>2.23</v>
      </c>
      <c r="U5" s="25">
        <f>T5-Q5</f>
        <v>0</v>
      </c>
      <c r="V5" s="18"/>
      <c r="W5" s="10"/>
      <c r="X5" s="10"/>
      <c r="Y5" s="10">
        <f>ROUNDDOWN((V5-N4)*K4*X4/365,2)</f>
        <v>-1849.93</v>
      </c>
      <c r="Z5" s="10"/>
      <c r="AA5" s="10"/>
      <c r="AB5" s="10"/>
    </row>
    <row r="6" spans="1:30" s="2" customFormat="1">
      <c r="A6" s="10"/>
      <c r="B6" s="10"/>
      <c r="C6" s="10"/>
      <c r="D6" s="10"/>
      <c r="E6" s="10"/>
      <c r="F6" s="10"/>
      <c r="G6" s="10"/>
      <c r="H6" s="10"/>
      <c r="I6" s="10"/>
      <c r="J6" s="10"/>
      <c r="K6" s="10"/>
      <c r="L6" s="10"/>
      <c r="M6" s="17"/>
      <c r="N6" s="18"/>
      <c r="O6" s="18"/>
      <c r="P6" s="19">
        <v>45067</v>
      </c>
      <c r="Q6" s="25">
        <v>3.04</v>
      </c>
      <c r="R6" s="10"/>
      <c r="S6" s="19">
        <f t="shared" ref="S6:S14" si="0">P6</f>
        <v>45067</v>
      </c>
      <c r="T6" s="25">
        <f>(S6-S5)*$K$4*$U$4/360</f>
        <v>3.04</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45098</v>
      </c>
      <c r="Q7" s="25">
        <v>3.14</v>
      </c>
      <c r="R7" s="10"/>
      <c r="S7" s="19">
        <f t="shared" si="0"/>
        <v>45098</v>
      </c>
      <c r="T7" s="25">
        <f t="shared" ref="T7:T14" si="1">(S7-S6)*$K$4*$U$4/360</f>
        <v>3.14</v>
      </c>
      <c r="U7" s="25">
        <f t="shared" ref="U7:U14"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45128</v>
      </c>
      <c r="Q8" s="25">
        <v>2.96</v>
      </c>
      <c r="R8" s="10"/>
      <c r="S8" s="19">
        <f t="shared" si="0"/>
        <v>45128</v>
      </c>
      <c r="T8" s="25">
        <f t="shared" si="1"/>
        <v>3.04</v>
      </c>
      <c r="U8" s="25">
        <f t="shared" si="2"/>
        <v>0.08</v>
      </c>
      <c r="V8" s="10"/>
      <c r="W8" s="10"/>
      <c r="X8" s="10"/>
      <c r="Y8" s="10"/>
      <c r="Z8" s="10"/>
      <c r="AA8" s="10"/>
      <c r="AB8" s="10"/>
    </row>
    <row r="9" spans="1:30" s="2" customFormat="1">
      <c r="A9" s="10"/>
      <c r="B9" s="10"/>
      <c r="C9" s="10"/>
      <c r="D9" s="10"/>
      <c r="E9" s="10"/>
      <c r="F9" s="10"/>
      <c r="G9" s="10"/>
      <c r="H9" s="10"/>
      <c r="I9" s="10"/>
      <c r="J9" s="10"/>
      <c r="K9" s="10"/>
      <c r="L9" s="10"/>
      <c r="M9" s="17"/>
      <c r="N9" s="18"/>
      <c r="O9" s="18"/>
      <c r="P9" s="19">
        <v>45159</v>
      </c>
      <c r="Q9" s="25">
        <v>3.06</v>
      </c>
      <c r="R9" s="10"/>
      <c r="S9" s="19">
        <f t="shared" si="0"/>
        <v>45159</v>
      </c>
      <c r="T9" s="25">
        <f t="shared" si="1"/>
        <v>3.14</v>
      </c>
      <c r="U9" s="25">
        <f t="shared" si="2"/>
        <v>0.08</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45190</v>
      </c>
      <c r="Q10" s="25">
        <v>3.06</v>
      </c>
      <c r="R10" s="10"/>
      <c r="S10" s="19">
        <f t="shared" si="0"/>
        <v>45190</v>
      </c>
      <c r="T10" s="25">
        <f t="shared" si="1"/>
        <v>3.14</v>
      </c>
      <c r="U10" s="25">
        <f t="shared" si="2"/>
        <v>0.08</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45220</v>
      </c>
      <c r="Q11" s="25">
        <v>2.96</v>
      </c>
      <c r="R11" s="10"/>
      <c r="S11" s="19">
        <f t="shared" si="0"/>
        <v>45220</v>
      </c>
      <c r="T11" s="25">
        <f t="shared" si="1"/>
        <v>3.04</v>
      </c>
      <c r="U11" s="25">
        <f t="shared" si="2"/>
        <v>0.08</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45251</v>
      </c>
      <c r="Q12" s="25">
        <v>3.06</v>
      </c>
      <c r="R12" s="10"/>
      <c r="S12" s="19">
        <f t="shared" si="0"/>
        <v>45251</v>
      </c>
      <c r="T12" s="25">
        <f t="shared" si="1"/>
        <v>3.14</v>
      </c>
      <c r="U12" s="25">
        <f t="shared" si="2"/>
        <v>0.08</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45281</v>
      </c>
      <c r="Q13" s="25">
        <v>2.96</v>
      </c>
      <c r="R13" s="10"/>
      <c r="S13" s="19">
        <f t="shared" si="0"/>
        <v>45281</v>
      </c>
      <c r="T13" s="25">
        <f t="shared" si="1"/>
        <v>3.04</v>
      </c>
      <c r="U13" s="25">
        <f t="shared" si="2"/>
        <v>0.08</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45312</v>
      </c>
      <c r="Q14" s="25">
        <v>3.06</v>
      </c>
      <c r="R14" s="10"/>
      <c r="S14" s="19">
        <f t="shared" si="0"/>
        <v>45312</v>
      </c>
      <c r="T14" s="25">
        <f t="shared" si="1"/>
        <v>3.14</v>
      </c>
      <c r="U14" s="25">
        <f t="shared" si="2"/>
        <v>0.08</v>
      </c>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成都利普芯微电子有限公司</v>
      </c>
      <c r="C26" s="9" t="str">
        <f t="shared" ref="C26:G26" si="3">C4</f>
        <v>成都高新区市场监督管理局</v>
      </c>
      <c r="D26" s="9" t="str">
        <f t="shared" si="3"/>
        <v>91510100MA67GLY99L</v>
      </c>
      <c r="E26" s="9" t="str">
        <f t="shared" si="3"/>
        <v>有限责任公司（民营）</v>
      </c>
      <c r="F26" s="9" t="str">
        <f t="shared" si="3"/>
        <v>国家税务总局成都高新技术产业开发区税务局第二税务所</v>
      </c>
      <c r="G26" s="9" t="str">
        <f t="shared" si="3"/>
        <v>1001300001104517（成都银行二仙桥东路支行）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成都利普芯微电子有限公司</v>
      </c>
      <c r="C48" s="9" t="str">
        <f t="shared" ref="C48:G48" si="7">C26</f>
        <v>成都高新区市场监督管理局</v>
      </c>
      <c r="D48" s="9" t="str">
        <f t="shared" si="7"/>
        <v>91510100MA67GLY99L</v>
      </c>
      <c r="E48" s="9" t="str">
        <f t="shared" si="7"/>
        <v>有限责任公司（民营）</v>
      </c>
      <c r="F48" s="9" t="str">
        <f t="shared" si="7"/>
        <v>国家税务总局成都高新技术产业开发区税务局第二税务所</v>
      </c>
      <c r="G48" s="9" t="str">
        <f t="shared" si="7"/>
        <v>1001300001104517（成都银行二仙桥东路支行）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成都利普芯微电子有限公司</v>
      </c>
      <c r="C70" s="9" t="str">
        <f t="shared" ref="C70:G70" si="10">C48</f>
        <v>成都高新区市场监督管理局</v>
      </c>
      <c r="D70" s="9" t="str">
        <f t="shared" si="10"/>
        <v>91510100MA67GLY99L</v>
      </c>
      <c r="E70" s="9" t="str">
        <f t="shared" si="10"/>
        <v>有限责任公司（民营）</v>
      </c>
      <c r="F70" s="9" t="str">
        <f t="shared" si="10"/>
        <v>国家税务总局成都高新技术产业开发区税务局第二税务所</v>
      </c>
      <c r="G70" s="9" t="str">
        <f t="shared" si="10"/>
        <v>1001300001104517（成都银行二仙桥东路支行）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成都利普芯微电子有限公司</v>
      </c>
      <c r="C92" s="9" t="str">
        <f t="shared" ref="C92:G92" si="11">C70</f>
        <v>成都高新区市场监督管理局</v>
      </c>
      <c r="D92" s="9" t="str">
        <f t="shared" si="11"/>
        <v>91510100MA67GLY99L</v>
      </c>
      <c r="E92" s="9" t="str">
        <f t="shared" si="11"/>
        <v>有限责任公司（民营）</v>
      </c>
      <c r="F92" s="9" t="str">
        <f t="shared" si="11"/>
        <v>国家税务总局成都高新技术产业开发区税务局第二税务所</v>
      </c>
      <c r="G92" s="9" t="str">
        <f t="shared" si="11"/>
        <v>1001300001104517（成都银行二仙桥东路支行）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11.383599999999999</v>
      </c>
      <c r="S114" s="9"/>
      <c r="T114" s="9"/>
      <c r="U114" s="9"/>
      <c r="V114" s="9"/>
      <c r="W114" s="9"/>
      <c r="X114" s="9"/>
      <c r="Y114" s="9">
        <f>Y92+Y70+Y48+Y26++Y4</f>
        <v>11.38</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D116"/>
  <sheetViews>
    <sheetView topLeftCell="H1" zoomScale="70" zoomScaleNormal="70" workbookViewId="0">
      <pane ySplit="3" topLeftCell="A4" activePane="bottomLeft" state="frozen"/>
      <selection pane="bottomLeft" activeCell="I4" sqref="I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成都中航华测科技有限公司审计明细表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548</v>
      </c>
      <c r="C4" s="9" t="s">
        <v>289</v>
      </c>
      <c r="D4" s="9" t="s">
        <v>549</v>
      </c>
      <c r="E4" s="9" t="s">
        <v>550</v>
      </c>
      <c r="F4" s="9" t="s">
        <v>289</v>
      </c>
      <c r="G4" s="9" t="s">
        <v>551</v>
      </c>
      <c r="H4" s="9" t="s">
        <v>552</v>
      </c>
      <c r="I4" s="9" t="s">
        <v>553</v>
      </c>
      <c r="J4" s="9" t="s">
        <v>84</v>
      </c>
      <c r="K4" s="9">
        <v>1000</v>
      </c>
      <c r="L4" s="9" t="s">
        <v>554</v>
      </c>
      <c r="M4" s="20" t="s">
        <v>555</v>
      </c>
      <c r="N4" s="15">
        <v>45132</v>
      </c>
      <c r="O4" s="15">
        <v>45291</v>
      </c>
      <c r="P4" s="9">
        <f>P8-N4</f>
        <v>118</v>
      </c>
      <c r="Q4" s="22">
        <f>SUM(Q5:Q25)</f>
        <v>21.46</v>
      </c>
      <c r="R4" s="22">
        <v>9.16</v>
      </c>
      <c r="S4" s="9"/>
      <c r="T4" s="22">
        <f>SUM(T5:T25)</f>
        <v>21.59</v>
      </c>
      <c r="U4" s="23">
        <v>3.2500000000000001E-2</v>
      </c>
      <c r="V4" s="16"/>
      <c r="W4" s="9" t="s">
        <v>42</v>
      </c>
      <c r="X4" s="24">
        <v>1.4999999999999999E-2</v>
      </c>
      <c r="Y4" s="9">
        <f>ROUNDDOWN(IF((O4-N4+1)*K4*X4/365&gt;R4,R4,(O4-N4+1)*K4*X4/365),2)</f>
        <v>6.57</v>
      </c>
      <c r="Z4" s="22">
        <f>R4-Y4</f>
        <v>2.59</v>
      </c>
      <c r="AA4" s="22" t="s">
        <v>177</v>
      </c>
      <c r="AB4" s="9" t="s">
        <v>61</v>
      </c>
      <c r="AD4" s="28">
        <f>(O4-N4+1)*K4*X4/365</f>
        <v>6.5753000000000004</v>
      </c>
    </row>
    <row r="5" spans="1:30" s="2" customFormat="1">
      <c r="A5" s="10"/>
      <c r="B5" s="10"/>
      <c r="C5" s="10"/>
      <c r="D5" s="10"/>
      <c r="E5" s="10"/>
      <c r="F5" s="10"/>
      <c r="G5" s="10"/>
      <c r="H5" s="10"/>
      <c r="I5" s="10"/>
      <c r="J5" s="10"/>
      <c r="K5" s="10"/>
      <c r="L5" s="10"/>
      <c r="M5" s="17"/>
      <c r="N5" s="18"/>
      <c r="O5" s="15">
        <v>45862</v>
      </c>
      <c r="P5" s="19">
        <v>45158</v>
      </c>
      <c r="Q5" s="25">
        <v>2.35</v>
      </c>
      <c r="R5" s="10"/>
      <c r="S5" s="19">
        <f>P5</f>
        <v>45158</v>
      </c>
      <c r="T5" s="25">
        <f>(S5-N4)/360*$U$4*$K$4</f>
        <v>2.35</v>
      </c>
      <c r="U5" s="25">
        <f>T5-Q5</f>
        <v>0</v>
      </c>
      <c r="V5" s="18"/>
      <c r="W5" s="10"/>
      <c r="X5" s="10"/>
      <c r="Y5" s="10">
        <f>ROUNDDOWN((V5-N4)*K4*X4/365,2)</f>
        <v>-1854.73</v>
      </c>
      <c r="Z5" s="10"/>
      <c r="AA5" s="10"/>
      <c r="AB5" s="10"/>
    </row>
    <row r="6" spans="1:30" s="2" customFormat="1">
      <c r="A6" s="10"/>
      <c r="B6" s="10"/>
      <c r="C6" s="10"/>
      <c r="D6" s="10"/>
      <c r="E6" s="10"/>
      <c r="F6" s="10"/>
      <c r="G6" s="10"/>
      <c r="H6" s="10"/>
      <c r="I6" s="10"/>
      <c r="J6" s="10"/>
      <c r="K6" s="10"/>
      <c r="L6" s="10"/>
      <c r="M6" s="17"/>
      <c r="N6" s="18"/>
      <c r="O6" s="18"/>
      <c r="P6" s="19">
        <v>45189</v>
      </c>
      <c r="Q6" s="25">
        <v>2.8</v>
      </c>
      <c r="R6" s="10"/>
      <c r="S6" s="19">
        <f t="shared" ref="S6:S12" si="0">P6</f>
        <v>45189</v>
      </c>
      <c r="T6" s="25">
        <f>(S6-S5)*$K$4*$U$4/360</f>
        <v>2.8</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45219</v>
      </c>
      <c r="Q7" s="25">
        <v>2.71</v>
      </c>
      <c r="R7" s="10"/>
      <c r="S7" s="19">
        <f t="shared" si="0"/>
        <v>45219</v>
      </c>
      <c r="T7" s="25">
        <f t="shared" ref="T7:T12" si="1">(S7-S6)*$K$4*$U$4/360</f>
        <v>2.71</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45250</v>
      </c>
      <c r="Q8" s="25">
        <v>2.8</v>
      </c>
      <c r="R8" s="10"/>
      <c r="S8" s="19">
        <f t="shared" si="0"/>
        <v>45250</v>
      </c>
      <c r="T8" s="25">
        <f t="shared" si="1"/>
        <v>2.8</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45280</v>
      </c>
      <c r="Q9" s="25">
        <v>2.71</v>
      </c>
      <c r="R9" s="10"/>
      <c r="S9" s="19">
        <f t="shared" si="0"/>
        <v>45280</v>
      </c>
      <c r="T9" s="25">
        <f t="shared" si="1"/>
        <v>2.71</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45311</v>
      </c>
      <c r="Q10" s="25">
        <v>2.8</v>
      </c>
      <c r="R10" s="10"/>
      <c r="S10" s="19">
        <f t="shared" si="0"/>
        <v>45311</v>
      </c>
      <c r="T10" s="25">
        <f t="shared" si="1"/>
        <v>2.8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45342</v>
      </c>
      <c r="Q11" s="25">
        <v>2.74</v>
      </c>
      <c r="R11" s="10"/>
      <c r="S11" s="19">
        <f t="shared" si="0"/>
        <v>45342</v>
      </c>
      <c r="T11" s="25">
        <f t="shared" si="1"/>
        <v>2.8</v>
      </c>
      <c r="U11" s="25">
        <f t="shared" si="2"/>
        <v>0.06</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45371</v>
      </c>
      <c r="Q12" s="25">
        <v>2.5499999999999998</v>
      </c>
      <c r="R12" s="10"/>
      <c r="S12" s="19">
        <f t="shared" si="0"/>
        <v>45371</v>
      </c>
      <c r="T12" s="25">
        <f t="shared" si="1"/>
        <v>2.62</v>
      </c>
      <c r="U12" s="25">
        <f t="shared" si="2"/>
        <v>7.0000000000000007E-2</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hidden="1">
      <c r="A26" s="9">
        <v>2</v>
      </c>
      <c r="B26" s="9" t="str">
        <f>B4</f>
        <v>成都中航华测科技有限公司</v>
      </c>
      <c r="C26" s="9" t="str">
        <f t="shared" ref="C26:G26" si="3">C4</f>
        <v>成都高新区</v>
      </c>
      <c r="D26" s="9" t="str">
        <f t="shared" si="3"/>
        <v>91510107066992989P</v>
      </c>
      <c r="E26" s="9" t="str">
        <f t="shared" si="3"/>
        <v>私营有限公司</v>
      </c>
      <c r="F26" s="9" t="str">
        <f t="shared" si="3"/>
        <v>成都高新区</v>
      </c>
      <c r="G26" s="9" t="str">
        <f t="shared" si="3"/>
        <v>账号：4402208009100373143开户行：工商银行成都春熙路步行街支行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12" hidden="1">
      <c r="A48" s="9">
        <v>3</v>
      </c>
      <c r="B48" s="9" t="str">
        <f>B26</f>
        <v>成都中航华测科技有限公司</v>
      </c>
      <c r="C48" s="9" t="str">
        <f t="shared" ref="C48:G48" si="7">C26</f>
        <v>成都高新区</v>
      </c>
      <c r="D48" s="9" t="str">
        <f t="shared" si="7"/>
        <v>91510107066992989P</v>
      </c>
      <c r="E48" s="9" t="str">
        <f t="shared" si="7"/>
        <v>私营有限公司</v>
      </c>
      <c r="F48" s="9" t="str">
        <f t="shared" si="7"/>
        <v>成都高新区</v>
      </c>
      <c r="G48" s="9" t="str">
        <f t="shared" si="7"/>
        <v>账号：4402208009100373143开户行：工商银行成都春熙路步行街支行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12" hidden="1">
      <c r="A70" s="9">
        <v>4</v>
      </c>
      <c r="B70" s="9" t="str">
        <f>B48</f>
        <v>成都中航华测科技有限公司</v>
      </c>
      <c r="C70" s="9" t="str">
        <f t="shared" ref="C70:G70" si="10">C48</f>
        <v>成都高新区</v>
      </c>
      <c r="D70" s="9" t="str">
        <f t="shared" si="10"/>
        <v>91510107066992989P</v>
      </c>
      <c r="E70" s="9" t="str">
        <f t="shared" si="10"/>
        <v>私营有限公司</v>
      </c>
      <c r="F70" s="9" t="str">
        <f t="shared" si="10"/>
        <v>成都高新区</v>
      </c>
      <c r="G70" s="9" t="str">
        <f t="shared" si="10"/>
        <v>账号：4402208009100373143开户行：工商银行成都春熙路步行街支行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12" hidden="1">
      <c r="A92" s="9">
        <v>5</v>
      </c>
      <c r="B92" s="9" t="str">
        <f>B70</f>
        <v>成都中航华测科技有限公司</v>
      </c>
      <c r="C92" s="9" t="str">
        <f t="shared" ref="C92:G92" si="11">C70</f>
        <v>成都高新区</v>
      </c>
      <c r="D92" s="9" t="str">
        <f t="shared" si="11"/>
        <v>91510107066992989P</v>
      </c>
      <c r="E92" s="9" t="str">
        <f t="shared" si="11"/>
        <v>私营有限公司</v>
      </c>
      <c r="F92" s="9" t="str">
        <f t="shared" si="11"/>
        <v>成都高新区</v>
      </c>
      <c r="G92" s="9" t="str">
        <f t="shared" si="11"/>
        <v>账号：4402208009100373143开户行：工商银行成都春熙路步行街支行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9.16</v>
      </c>
      <c r="S114" s="9"/>
      <c r="T114" s="9"/>
      <c r="U114" s="9"/>
      <c r="V114" s="9"/>
      <c r="W114" s="9"/>
      <c r="X114" s="9"/>
      <c r="Y114" s="9">
        <f>Y92+Y70+Y48+Y26++Y4</f>
        <v>6.57</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D116"/>
  <sheetViews>
    <sheetView topLeftCell="H1" zoomScale="70" zoomScaleNormal="70" workbookViewId="0">
      <pane ySplit="3" topLeftCell="A4" activePane="bottomLeft" state="frozen"/>
      <selection pane="bottomLeft" activeCell="T118" sqref="T118"/>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成都英黎科技有限公司审计明细表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556</v>
      </c>
      <c r="C4" s="9" t="s">
        <v>32</v>
      </c>
      <c r="D4" s="9" t="s">
        <v>557</v>
      </c>
      <c r="E4" s="9" t="s">
        <v>226</v>
      </c>
      <c r="F4" s="9" t="s">
        <v>35</v>
      </c>
      <c r="G4" s="9" t="s">
        <v>558</v>
      </c>
      <c r="H4" s="9" t="s">
        <v>71</v>
      </c>
      <c r="I4" s="9" t="s">
        <v>559</v>
      </c>
      <c r="J4" s="9" t="s">
        <v>39</v>
      </c>
      <c r="K4" s="9">
        <v>1000</v>
      </c>
      <c r="L4" s="9" t="s">
        <v>560</v>
      </c>
      <c r="M4" s="20" t="s">
        <v>561</v>
      </c>
      <c r="N4" s="16">
        <v>45261</v>
      </c>
      <c r="O4" s="16">
        <v>45291</v>
      </c>
      <c r="P4" s="9">
        <f>P5-N4</f>
        <v>20</v>
      </c>
      <c r="Q4" s="22">
        <f>SUM(Q5:Q25)</f>
        <v>0.57999999999999996</v>
      </c>
      <c r="R4" s="22">
        <v>1.27</v>
      </c>
      <c r="S4" s="9"/>
      <c r="T4" s="22">
        <f>SUM(T5:T25)</f>
        <v>1.92</v>
      </c>
      <c r="U4" s="23">
        <v>3.4500000000000003E-2</v>
      </c>
      <c r="V4" s="16"/>
      <c r="W4" s="9" t="s">
        <v>42</v>
      </c>
      <c r="X4" s="24">
        <v>1.4999999999999999E-2</v>
      </c>
      <c r="Y4" s="9">
        <f>ROUNDDOWN(IF((O4-N4+1)*K4*X4/365&gt;R4,R4,(O4-N4+1)*K4*X4/365),2)</f>
        <v>1.27</v>
      </c>
      <c r="Z4" s="22">
        <f>R4-Y4</f>
        <v>0</v>
      </c>
      <c r="AA4" s="22"/>
      <c r="AB4" s="9" t="s">
        <v>61</v>
      </c>
      <c r="AD4" s="28">
        <f>(O4-N4+1)*K4*X4/365</f>
        <v>1.274</v>
      </c>
    </row>
    <row r="5" spans="1:30" s="2" customFormat="1" ht="28">
      <c r="A5" s="10"/>
      <c r="B5" s="10"/>
      <c r="C5" s="10"/>
      <c r="D5" s="10"/>
      <c r="E5" s="10"/>
      <c r="F5" s="10"/>
      <c r="G5" s="10"/>
      <c r="H5" s="10"/>
      <c r="I5" s="10"/>
      <c r="J5" s="10"/>
      <c r="K5" s="10"/>
      <c r="L5" s="10"/>
      <c r="M5" s="32" t="s">
        <v>562</v>
      </c>
      <c r="N5" s="18"/>
      <c r="O5" s="16">
        <v>45621</v>
      </c>
      <c r="P5" s="19">
        <v>45281</v>
      </c>
      <c r="Q5" s="25">
        <v>0.57999999999999996</v>
      </c>
      <c r="R5" s="10"/>
      <c r="S5" s="19">
        <f>P5</f>
        <v>45281</v>
      </c>
      <c r="T5" s="25">
        <f>(S5-N4)/360*$U$4*$K$4</f>
        <v>1.92</v>
      </c>
      <c r="U5" s="25">
        <f>T5-Q5</f>
        <v>1.34</v>
      </c>
      <c r="V5" s="18"/>
      <c r="W5" s="10"/>
      <c r="X5" s="10"/>
      <c r="Y5" s="10">
        <f>ROUNDDOWN((V5-N4)*K4*X4/365,2)</f>
        <v>-1860.04</v>
      </c>
      <c r="Z5" s="10"/>
      <c r="AA5" s="10"/>
      <c r="AB5" s="10"/>
    </row>
    <row r="6" spans="1:30" s="2" customFormat="1" hidden="1">
      <c r="A6" s="10"/>
      <c r="B6" s="10"/>
      <c r="C6" s="10"/>
      <c r="D6" s="10"/>
      <c r="E6" s="10"/>
      <c r="F6" s="10"/>
      <c r="G6" s="10"/>
      <c r="H6" s="10"/>
      <c r="I6" s="10"/>
      <c r="J6" s="10"/>
      <c r="K6" s="10"/>
      <c r="L6" s="10"/>
      <c r="M6" s="17"/>
      <c r="N6" s="18"/>
      <c r="O6" s="18"/>
      <c r="P6" s="19"/>
      <c r="Q6" s="25"/>
      <c r="R6" s="10"/>
      <c r="S6" s="19"/>
      <c r="T6" s="25"/>
      <c r="U6" s="25"/>
      <c r="V6" s="10"/>
      <c r="W6" s="10"/>
      <c r="X6" s="10"/>
      <c r="Y6" s="10"/>
      <c r="Z6" s="10"/>
      <c r="AA6" s="10"/>
      <c r="AB6" s="10"/>
    </row>
    <row r="7" spans="1:30" s="2" customFormat="1" hidden="1">
      <c r="A7" s="10"/>
      <c r="B7" s="10"/>
      <c r="C7" s="10"/>
      <c r="D7" s="10"/>
      <c r="E7" s="10"/>
      <c r="F7" s="10"/>
      <c r="G7" s="10"/>
      <c r="H7" s="10"/>
      <c r="I7" s="10"/>
      <c r="J7" s="10"/>
      <c r="K7" s="10"/>
      <c r="L7" s="10"/>
      <c r="M7" s="17"/>
      <c r="N7" s="18"/>
      <c r="O7" s="18"/>
      <c r="P7" s="19"/>
      <c r="Q7" s="25"/>
      <c r="R7" s="10"/>
      <c r="S7" s="19"/>
      <c r="T7" s="25"/>
      <c r="U7" s="25"/>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98">
      <c r="A26" s="9">
        <v>2</v>
      </c>
      <c r="B26" s="9" t="str">
        <f>B4</f>
        <v>成都英黎科技有限公司</v>
      </c>
      <c r="C26" s="9" t="str">
        <f t="shared" ref="C26:G26" si="0">C4</f>
        <v>成都高新技术产业开发区市场监督管理局</v>
      </c>
      <c r="D26" s="9" t="str">
        <f t="shared" si="0"/>
        <v>91510100734807532R</v>
      </c>
      <c r="E26" s="9" t="str">
        <f t="shared" si="0"/>
        <v>私营</v>
      </c>
      <c r="F26" s="9" t="str">
        <f t="shared" si="0"/>
        <v>国家税务总局成都高新技术产业开发区税务局</v>
      </c>
      <c r="G26" s="9" t="str">
        <f t="shared" si="0"/>
        <v>中国农业银行股份有限公司成都府青路支行801501040003566</v>
      </c>
      <c r="H26" s="9" t="s">
        <v>71</v>
      </c>
      <c r="I26" s="9" t="s">
        <v>559</v>
      </c>
      <c r="J26" s="9" t="s">
        <v>39</v>
      </c>
      <c r="K26" s="9">
        <v>1000</v>
      </c>
      <c r="L26" s="9" t="s">
        <v>563</v>
      </c>
      <c r="M26" s="20" t="s">
        <v>564</v>
      </c>
      <c r="N26" s="15">
        <v>45275</v>
      </c>
      <c r="O26" s="16">
        <v>45291</v>
      </c>
      <c r="P26" s="9">
        <f>P27-N26</f>
        <v>6</v>
      </c>
      <c r="Q26" s="22">
        <f>SUM(Q27:Q47)</f>
        <v>1.92</v>
      </c>
      <c r="R26" s="9">
        <v>1.31</v>
      </c>
      <c r="S26" s="9"/>
      <c r="T26" s="9">
        <f>SUM(T27:T47)</f>
        <v>0.57999999999999996</v>
      </c>
      <c r="U26" s="23">
        <v>3.4500000000000003E-2</v>
      </c>
      <c r="V26" s="16"/>
      <c r="W26" s="9" t="s">
        <v>42</v>
      </c>
      <c r="X26" s="24">
        <v>1.4999999999999999E-2</v>
      </c>
      <c r="Y26" s="9">
        <f>ROUNDDOWN(IF((O26-N26+1)*K26*X26/365&gt;R26,R26,(O26-N26+1)*K26*X26/365),2)</f>
        <v>0.69</v>
      </c>
      <c r="Z26" s="9">
        <f>R26-Y26</f>
        <v>0.62</v>
      </c>
      <c r="AA26" s="9" t="s">
        <v>177</v>
      </c>
      <c r="AB26" s="9" t="s">
        <v>61</v>
      </c>
      <c r="AD26" s="1">
        <f>(O26-N26+1)*K26*X26/365</f>
        <v>0.69863013698630105</v>
      </c>
    </row>
    <row r="27" spans="1:30" s="2" customFormat="1" ht="28">
      <c r="A27" s="10"/>
      <c r="B27" s="10"/>
      <c r="C27" s="10"/>
      <c r="D27" s="10"/>
      <c r="E27" s="10"/>
      <c r="F27" s="10"/>
      <c r="G27" s="10"/>
      <c r="H27" s="10"/>
      <c r="I27" s="10"/>
      <c r="J27" s="10"/>
      <c r="K27" s="10"/>
      <c r="L27" s="10"/>
      <c r="M27" s="32" t="s">
        <v>562</v>
      </c>
      <c r="N27" s="18"/>
      <c r="O27" s="16">
        <v>45625</v>
      </c>
      <c r="P27" s="19">
        <v>45281</v>
      </c>
      <c r="Q27" s="25">
        <v>1.92</v>
      </c>
      <c r="R27" s="10"/>
      <c r="S27" s="19">
        <f>P27</f>
        <v>45281</v>
      </c>
      <c r="T27" s="25">
        <f>(S27-N26)/360*$U$26*$K$26</f>
        <v>0.57999999999999996</v>
      </c>
      <c r="U27" s="25">
        <f>T27-Q27</f>
        <v>-1.34</v>
      </c>
      <c r="V27" s="18"/>
      <c r="W27" s="10"/>
      <c r="X27" s="10"/>
      <c r="Y27" s="29">
        <f>ROUNDUP((V27-N26)*K26*X26/365,2)</f>
        <v>-1860.62</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c r="T28" s="25"/>
      <c r="U28" s="25"/>
      <c r="V28" s="10"/>
      <c r="W28" s="10"/>
      <c r="X28" s="10"/>
      <c r="Y28" s="29">
        <f>ROUNDUP((O26-V27+1)*(K26-W27)*X26/365,2)</f>
        <v>1861.32</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c r="T30" s="25"/>
      <c r="U30" s="25"/>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c r="T31" s="25"/>
      <c r="U31" s="25"/>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ref="U37" si="1">T37-Q37</f>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成都英黎科技有限公司</v>
      </c>
      <c r="C48" s="9" t="str">
        <f t="shared" ref="C48:G48" si="2">C26</f>
        <v>成都高新技术产业开发区市场监督管理局</v>
      </c>
      <c r="D48" s="9" t="str">
        <f t="shared" si="2"/>
        <v>91510100734807532R</v>
      </c>
      <c r="E48" s="9" t="str">
        <f t="shared" si="2"/>
        <v>私营</v>
      </c>
      <c r="F48" s="9" t="str">
        <f t="shared" si="2"/>
        <v>国家税务总局成都高新技术产业开发区税务局</v>
      </c>
      <c r="G48" s="9" t="str">
        <f t="shared" si="2"/>
        <v>中国农业银行股份有限公司成都府青路支行801501040003566</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3">P50</f>
        <v>0</v>
      </c>
      <c r="T50" s="25">
        <f>(S50-S49)*$U$48*$K$48/360</f>
        <v>0</v>
      </c>
      <c r="U50" s="25">
        <f t="shared" ref="U50" si="4">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成都英黎科技有限公司</v>
      </c>
      <c r="C70" s="9" t="str">
        <f t="shared" ref="C70:G70" si="5">C48</f>
        <v>成都高新技术产业开发区市场监督管理局</v>
      </c>
      <c r="D70" s="9" t="str">
        <f t="shared" si="5"/>
        <v>91510100734807532R</v>
      </c>
      <c r="E70" s="9" t="str">
        <f t="shared" si="5"/>
        <v>私营</v>
      </c>
      <c r="F70" s="9" t="str">
        <f t="shared" si="5"/>
        <v>国家税务总局成都高新技术产业开发区税务局</v>
      </c>
      <c r="G70" s="9" t="str">
        <f t="shared" si="5"/>
        <v>中国农业银行股份有限公司成都府青路支行801501040003566</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成都英黎科技有限公司</v>
      </c>
      <c r="C92" s="9" t="str">
        <f t="shared" ref="C92:G92" si="6">C70</f>
        <v>成都高新技术产业开发区市场监督管理局</v>
      </c>
      <c r="D92" s="9" t="str">
        <f t="shared" si="6"/>
        <v>91510100734807532R</v>
      </c>
      <c r="E92" s="9" t="str">
        <f t="shared" si="6"/>
        <v>私营</v>
      </c>
      <c r="F92" s="9" t="str">
        <f t="shared" si="6"/>
        <v>国家税务总局成都高新技术产业开发区税务局</v>
      </c>
      <c r="G92" s="9" t="str">
        <f t="shared" si="6"/>
        <v>中国农业银行股份有限公司成都府青路支行801501040003566</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2.58</v>
      </c>
      <c r="S114" s="9"/>
      <c r="T114" s="9"/>
      <c r="U114" s="9"/>
      <c r="V114" s="9"/>
      <c r="W114" s="9"/>
      <c r="X114" s="9"/>
      <c r="Y114" s="9">
        <f>Y92+Y70+Y48+Y26++Y4</f>
        <v>1.96</v>
      </c>
      <c r="Z114" s="9"/>
      <c r="AA114" s="9"/>
      <c r="AB114" s="9"/>
    </row>
    <row r="115" spans="1:28">
      <c r="I115" t="s">
        <v>49</v>
      </c>
      <c r="K115">
        <f>IF(K114&gt;3000,K116,K114)</f>
        <v>2000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16"/>
  <sheetViews>
    <sheetView zoomScale="70" zoomScaleNormal="70" workbookViewId="0">
      <pane ySplit="3" topLeftCell="A4" activePane="bottomLeft" state="frozen"/>
      <selection pane="bottomLeft" activeCell="M10" sqref="M10"/>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8" max="28" width="12.33203125" customWidth="1"/>
    <col min="29" max="29" width="9" hidden="1" customWidth="1"/>
    <col min="30" max="30" width="11.75" customWidth="1"/>
  </cols>
  <sheetData>
    <row r="1" spans="1:30" ht="25">
      <c r="B1" s="154" t="str">
        <f>B4&amp;AC1</f>
        <v>成都瀚德科技有限公司审计明细表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98</v>
      </c>
      <c r="C4" s="9" t="s">
        <v>99</v>
      </c>
      <c r="D4" s="9" t="s">
        <v>100</v>
      </c>
      <c r="E4" s="9" t="s">
        <v>101</v>
      </c>
      <c r="F4" s="9"/>
      <c r="G4" s="9" t="s">
        <v>102</v>
      </c>
      <c r="H4" s="9" t="s">
        <v>71</v>
      </c>
      <c r="I4" s="9" t="s">
        <v>103</v>
      </c>
      <c r="J4" s="9" t="s">
        <v>104</v>
      </c>
      <c r="K4" s="9">
        <v>450</v>
      </c>
      <c r="L4" s="9" t="s">
        <v>105</v>
      </c>
      <c r="M4" s="20" t="s">
        <v>106</v>
      </c>
      <c r="N4" s="16">
        <v>44847</v>
      </c>
      <c r="O4" s="15">
        <v>45187</v>
      </c>
      <c r="P4" s="9">
        <f>P16-N4</f>
        <v>340</v>
      </c>
      <c r="Q4" s="22">
        <f>SUM(Q5:Q25)</f>
        <v>16.78</v>
      </c>
      <c r="R4" s="22">
        <v>6.36</v>
      </c>
      <c r="S4" s="9"/>
      <c r="T4" s="22">
        <f>SUM(T5:T25)</f>
        <v>16.78</v>
      </c>
      <c r="U4" s="23">
        <v>3.95E-2</v>
      </c>
      <c r="V4" s="16"/>
      <c r="W4" s="9" t="s">
        <v>107</v>
      </c>
      <c r="X4" s="24">
        <v>1.4999999999999999E-2</v>
      </c>
      <c r="Y4" s="9">
        <f>ROUNDDOWN(IF((O4-N4+1)*K4*X4/365&gt;R4,R4,(O4-N4+1)*K4*X4/365),2)</f>
        <v>6.3</v>
      </c>
      <c r="Z4" s="22">
        <f>R4-Y4</f>
        <v>0.06</v>
      </c>
      <c r="AA4" s="22" t="s">
        <v>108</v>
      </c>
      <c r="AB4" s="9" t="s">
        <v>61</v>
      </c>
      <c r="AD4" s="28">
        <f>(O4-N4+1)*K4*X4/365</f>
        <v>6.3061999999999996</v>
      </c>
    </row>
    <row r="5" spans="1:30" s="2" customFormat="1">
      <c r="A5" s="10"/>
      <c r="B5" s="10"/>
      <c r="C5" s="10"/>
      <c r="D5" s="10"/>
      <c r="E5" s="10"/>
      <c r="F5" s="10"/>
      <c r="G5" s="10"/>
      <c r="H5" s="10"/>
      <c r="I5" s="10"/>
      <c r="J5" s="10"/>
      <c r="K5" s="10"/>
      <c r="L5" s="10"/>
      <c r="M5" s="17"/>
      <c r="N5" s="18"/>
      <c r="O5" s="18"/>
      <c r="P5" s="19">
        <v>44855</v>
      </c>
      <c r="Q5" s="25">
        <v>0.4</v>
      </c>
      <c r="R5" s="10"/>
      <c r="S5" s="19">
        <f>P5</f>
        <v>44855</v>
      </c>
      <c r="T5" s="25">
        <f>(S5-N4)/360*$U$4*$K$4</f>
        <v>0.4</v>
      </c>
      <c r="U5" s="25">
        <f>T5-Q5</f>
        <v>0</v>
      </c>
      <c r="V5" s="18"/>
      <c r="W5" s="10"/>
      <c r="X5" s="10"/>
      <c r="Y5" s="10"/>
      <c r="Z5" s="10"/>
      <c r="AA5" s="10"/>
      <c r="AB5" s="10"/>
    </row>
    <row r="6" spans="1:30" s="2" customFormat="1">
      <c r="A6" s="10"/>
      <c r="B6" s="10"/>
      <c r="C6" s="10"/>
      <c r="D6" s="10"/>
      <c r="E6" s="10"/>
      <c r="F6" s="10"/>
      <c r="G6" s="10"/>
      <c r="H6" s="10"/>
      <c r="I6" s="10"/>
      <c r="J6" s="10"/>
      <c r="K6" s="10"/>
      <c r="L6" s="10"/>
      <c r="M6" s="17"/>
      <c r="N6" s="18"/>
      <c r="O6" s="18"/>
      <c r="P6" s="19">
        <v>44886</v>
      </c>
      <c r="Q6" s="25">
        <v>1.53</v>
      </c>
      <c r="R6" s="10"/>
      <c r="S6" s="19">
        <f t="shared" ref="S6:S16" si="0">P6</f>
        <v>44886</v>
      </c>
      <c r="T6" s="25">
        <f>(S6-S5)*$K$4*$U$4/360</f>
        <v>1.53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44916</v>
      </c>
      <c r="Q7" s="25">
        <v>1.48</v>
      </c>
      <c r="R7" s="10"/>
      <c r="S7" s="19">
        <f t="shared" si="0"/>
        <v>44916</v>
      </c>
      <c r="T7" s="25">
        <f t="shared" ref="T7:T16" si="1">(S7-S6)*$K$4*$U$4/360</f>
        <v>1.48</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44947</v>
      </c>
      <c r="Q8" s="25">
        <v>1.53</v>
      </c>
      <c r="R8" s="10"/>
      <c r="S8" s="19">
        <f t="shared" si="0"/>
        <v>44947</v>
      </c>
      <c r="T8" s="25">
        <f t="shared" si="1"/>
        <v>1.53</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44978</v>
      </c>
      <c r="Q9" s="25">
        <v>1.53</v>
      </c>
      <c r="R9" s="10"/>
      <c r="S9" s="19">
        <f t="shared" si="0"/>
        <v>44978</v>
      </c>
      <c r="T9" s="25">
        <f t="shared" si="1"/>
        <v>1.53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45006</v>
      </c>
      <c r="Q10" s="25">
        <v>1.38</v>
      </c>
      <c r="R10" s="10"/>
      <c r="S10" s="19">
        <f t="shared" si="0"/>
        <v>45006</v>
      </c>
      <c r="T10" s="25">
        <f t="shared" si="1"/>
        <v>1.38</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45037</v>
      </c>
      <c r="Q11" s="25">
        <v>1.53</v>
      </c>
      <c r="R11" s="10"/>
      <c r="S11" s="19">
        <f t="shared" si="0"/>
        <v>45037</v>
      </c>
      <c r="T11" s="25">
        <f t="shared" si="1"/>
        <v>1.53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45067</v>
      </c>
      <c r="Q12" s="25">
        <v>1.48</v>
      </c>
      <c r="R12" s="10"/>
      <c r="S12" s="19">
        <f t="shared" si="0"/>
        <v>45067</v>
      </c>
      <c r="T12" s="25">
        <f t="shared" si="1"/>
        <v>1.48</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45098</v>
      </c>
      <c r="Q13" s="25">
        <v>1.53</v>
      </c>
      <c r="R13" s="10"/>
      <c r="S13" s="19">
        <f t="shared" si="0"/>
        <v>45098</v>
      </c>
      <c r="T13" s="25">
        <f t="shared" si="1"/>
        <v>1.53</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45128</v>
      </c>
      <c r="Q14" s="25">
        <v>1.48</v>
      </c>
      <c r="R14" s="10"/>
      <c r="S14" s="19">
        <f t="shared" si="0"/>
        <v>45128</v>
      </c>
      <c r="T14" s="25">
        <f t="shared" si="1"/>
        <v>1.48</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45159</v>
      </c>
      <c r="Q15" s="25">
        <v>1.53</v>
      </c>
      <c r="R15" s="10"/>
      <c r="S15" s="19">
        <f t="shared" si="0"/>
        <v>45159</v>
      </c>
      <c r="T15" s="25">
        <f t="shared" si="1"/>
        <v>1.53</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45187</v>
      </c>
      <c r="Q16" s="25">
        <v>1.38</v>
      </c>
      <c r="R16" s="10"/>
      <c r="S16" s="19">
        <f t="shared" si="0"/>
        <v>45187</v>
      </c>
      <c r="T16" s="25">
        <f t="shared" si="1"/>
        <v>1.38</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26">
      <c r="A26" s="9">
        <v>2</v>
      </c>
      <c r="B26" s="9" t="str">
        <f>B4</f>
        <v>成都瀚德科技有限公司</v>
      </c>
      <c r="C26" s="9" t="str">
        <f t="shared" ref="C26:G26" si="3">C4</f>
        <v>成都高新市场监管局</v>
      </c>
      <c r="D26" s="9" t="str">
        <f t="shared" si="3"/>
        <v>91510100693667819J</v>
      </c>
      <c r="E26" s="9" t="str">
        <f t="shared" si="3"/>
        <v>民营</v>
      </c>
      <c r="F26" s="9">
        <f t="shared" si="3"/>
        <v>0</v>
      </c>
      <c r="G26" s="9" t="str">
        <f t="shared" si="3"/>
        <v>4402235009100078721 工行成都城南支行</v>
      </c>
      <c r="H26" s="9" t="s">
        <v>71</v>
      </c>
      <c r="I26" s="9" t="s">
        <v>103</v>
      </c>
      <c r="J26" s="9" t="s">
        <v>109</v>
      </c>
      <c r="K26" s="9">
        <v>490</v>
      </c>
      <c r="L26" s="9" t="s">
        <v>110</v>
      </c>
      <c r="M26" s="20" t="s">
        <v>106</v>
      </c>
      <c r="N26" s="16">
        <v>44903</v>
      </c>
      <c r="O26" s="16">
        <v>45267</v>
      </c>
      <c r="P26" s="9">
        <f>P39-N26</f>
        <v>364</v>
      </c>
      <c r="Q26" s="22">
        <f>SUM(Q27:Q47)</f>
        <v>18.079999999999998</v>
      </c>
      <c r="R26" s="9">
        <v>7.35</v>
      </c>
      <c r="S26" s="9"/>
      <c r="T26" s="9">
        <f>SUM(T27:T47)</f>
        <v>18.079999999999998</v>
      </c>
      <c r="U26" s="23">
        <v>3.6499999999999998E-2</v>
      </c>
      <c r="V26" s="16"/>
      <c r="W26" s="9" t="s">
        <v>42</v>
      </c>
      <c r="X26" s="24">
        <v>1.4999999999999999E-2</v>
      </c>
      <c r="Y26" s="9">
        <f>ROUNDDOWN(IF((O26-N26+1)*K26*X26/365&gt;R26,R26,(O26-N26+1)*K26*X26/365),2)</f>
        <v>7.35</v>
      </c>
      <c r="Z26" s="9">
        <f>R26-Y26</f>
        <v>0</v>
      </c>
      <c r="AA26" s="9"/>
      <c r="AB26" s="9" t="s">
        <v>111</v>
      </c>
      <c r="AD26" s="1">
        <f>(O26-N26+1)*K26*X26/365</f>
        <v>7.35</v>
      </c>
    </row>
    <row r="27" spans="1:30" s="2" customFormat="1" ht="42">
      <c r="A27" s="10"/>
      <c r="B27" s="10"/>
      <c r="C27" s="10"/>
      <c r="D27" s="10"/>
      <c r="E27" s="10"/>
      <c r="F27" s="10"/>
      <c r="G27" s="10"/>
      <c r="H27" s="10"/>
      <c r="I27" s="10"/>
      <c r="J27" s="10"/>
      <c r="K27" s="10"/>
      <c r="L27" s="10"/>
      <c r="M27" s="17" t="s">
        <v>112</v>
      </c>
      <c r="N27" s="18"/>
      <c r="O27" s="16"/>
      <c r="P27" s="19">
        <v>44916</v>
      </c>
      <c r="Q27" s="25">
        <v>0.65</v>
      </c>
      <c r="R27" s="10"/>
      <c r="S27" s="19">
        <f>P27</f>
        <v>44916</v>
      </c>
      <c r="T27" s="25">
        <f>(S27-N26)/360*$U$26*$K$26</f>
        <v>0.65</v>
      </c>
      <c r="U27" s="25">
        <f>T27-Q27</f>
        <v>0</v>
      </c>
      <c r="V27" s="18"/>
      <c r="W27" s="10"/>
      <c r="X27" s="10"/>
      <c r="Y27" s="29">
        <f>ROUNDDOWN((V27-N26)*K26*X26/365,2)</f>
        <v>-904.21</v>
      </c>
      <c r="Z27" s="10"/>
      <c r="AA27" s="10"/>
      <c r="AB27" s="10"/>
    </row>
    <row r="28" spans="1:30" s="2" customFormat="1">
      <c r="A28" s="10"/>
      <c r="B28" s="10"/>
      <c r="C28" s="10"/>
      <c r="D28" s="10"/>
      <c r="E28" s="10"/>
      <c r="F28" s="10"/>
      <c r="G28" s="10"/>
      <c r="H28" s="10"/>
      <c r="I28" s="10"/>
      <c r="J28" s="10"/>
      <c r="K28" s="10"/>
      <c r="L28" s="10"/>
      <c r="M28" s="17"/>
      <c r="N28" s="18"/>
      <c r="O28" s="18"/>
      <c r="P28" s="19">
        <v>44947</v>
      </c>
      <c r="Q28" s="25">
        <v>1.54</v>
      </c>
      <c r="R28" s="10"/>
      <c r="S28" s="19">
        <f t="shared" ref="S28:S36" si="4">P28</f>
        <v>44947</v>
      </c>
      <c r="T28" s="25">
        <f>(S28-S27)*$U$26*$K$26/360</f>
        <v>1.54</v>
      </c>
      <c r="U28" s="25">
        <f t="shared" ref="U28:U36" si="5">T28-Q28</f>
        <v>0</v>
      </c>
      <c r="V28" s="10"/>
      <c r="W28" s="10"/>
      <c r="X28" s="10"/>
      <c r="Y28" s="29">
        <f>ROUNDDOWN((O26-V27+1)*(K26-W27)*X26/365,2)</f>
        <v>911.56</v>
      </c>
      <c r="Z28" s="10"/>
      <c r="AA28" s="10"/>
      <c r="AB28" s="10"/>
    </row>
    <row r="29" spans="1:30" s="2" customFormat="1">
      <c r="A29" s="10"/>
      <c r="B29" s="10"/>
      <c r="C29" s="10"/>
      <c r="D29" s="10"/>
      <c r="E29" s="10"/>
      <c r="F29" s="10"/>
      <c r="G29" s="10"/>
      <c r="H29" s="10"/>
      <c r="I29" s="10"/>
      <c r="J29" s="10"/>
      <c r="K29" s="10"/>
      <c r="L29" s="10"/>
      <c r="M29" s="17"/>
      <c r="N29" s="18"/>
      <c r="O29" s="18"/>
      <c r="P29" s="19">
        <v>44978</v>
      </c>
      <c r="Q29" s="25">
        <v>1.54</v>
      </c>
      <c r="R29" s="10"/>
      <c r="S29" s="19">
        <f t="shared" si="4"/>
        <v>44978</v>
      </c>
      <c r="T29" s="25">
        <f t="shared" ref="T29:T36" si="6">(S29-S28)*$U$26*$K$26/360</f>
        <v>1.54</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45006</v>
      </c>
      <c r="Q30" s="25">
        <v>1.39</v>
      </c>
      <c r="R30" s="10"/>
      <c r="S30" s="19">
        <f t="shared" si="4"/>
        <v>45006</v>
      </c>
      <c r="T30" s="25">
        <f t="shared" si="6"/>
        <v>1.39</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45037</v>
      </c>
      <c r="Q31" s="25">
        <v>1.54</v>
      </c>
      <c r="R31" s="10"/>
      <c r="S31" s="19">
        <f t="shared" si="4"/>
        <v>45037</v>
      </c>
      <c r="T31" s="25">
        <f t="shared" si="6"/>
        <v>1.54</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v>45067</v>
      </c>
      <c r="Q32" s="25">
        <v>1.49</v>
      </c>
      <c r="R32" s="10"/>
      <c r="S32" s="19">
        <f t="shared" si="4"/>
        <v>45067</v>
      </c>
      <c r="T32" s="25">
        <f t="shared" si="6"/>
        <v>1.49</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v>45098</v>
      </c>
      <c r="Q33" s="25">
        <v>1.54</v>
      </c>
      <c r="R33" s="10"/>
      <c r="S33" s="19">
        <f t="shared" si="4"/>
        <v>45098</v>
      </c>
      <c r="T33" s="25">
        <f t="shared" si="6"/>
        <v>1.54</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v>45128</v>
      </c>
      <c r="Q34" s="25">
        <v>1.49</v>
      </c>
      <c r="R34" s="10"/>
      <c r="S34" s="19">
        <f t="shared" si="4"/>
        <v>45128</v>
      </c>
      <c r="T34" s="25">
        <f t="shared" si="6"/>
        <v>1.49</v>
      </c>
      <c r="U34" s="25">
        <f t="shared" si="5"/>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v>45159</v>
      </c>
      <c r="Q35" s="25">
        <v>1.54</v>
      </c>
      <c r="R35" s="10"/>
      <c r="S35" s="19">
        <f t="shared" si="4"/>
        <v>45159</v>
      </c>
      <c r="T35" s="25">
        <f t="shared" si="6"/>
        <v>1.54</v>
      </c>
      <c r="U35" s="25">
        <f t="shared" si="5"/>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v>45190</v>
      </c>
      <c r="Q36" s="25">
        <v>1.54</v>
      </c>
      <c r="R36" s="10"/>
      <c r="S36" s="19">
        <f t="shared" si="4"/>
        <v>45190</v>
      </c>
      <c r="T36" s="25">
        <f t="shared" si="6"/>
        <v>1.54</v>
      </c>
      <c r="U36" s="25">
        <f t="shared" si="5"/>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v>45220</v>
      </c>
      <c r="Q37" s="25">
        <v>1.49</v>
      </c>
      <c r="R37" s="10"/>
      <c r="S37" s="19">
        <f t="shared" ref="S37:S39" si="7">P37</f>
        <v>45220</v>
      </c>
      <c r="T37" s="25">
        <f t="shared" ref="T37:T39" si="8">(S37-S36)*$U$26*$K$26/360</f>
        <v>1.49</v>
      </c>
      <c r="U37" s="25">
        <f t="shared" ref="U37:U39" si="9">T37-Q37</f>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v>45251</v>
      </c>
      <c r="Q38" s="25">
        <v>1.54</v>
      </c>
      <c r="R38" s="10"/>
      <c r="S38" s="19">
        <f t="shared" si="7"/>
        <v>45251</v>
      </c>
      <c r="T38" s="25">
        <f t="shared" si="8"/>
        <v>1.54</v>
      </c>
      <c r="U38" s="25">
        <f t="shared" si="9"/>
        <v>0</v>
      </c>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v>45267</v>
      </c>
      <c r="Q39" s="25">
        <v>0.79</v>
      </c>
      <c r="R39" s="10"/>
      <c r="S39" s="19">
        <f t="shared" si="7"/>
        <v>45267</v>
      </c>
      <c r="T39" s="25">
        <f t="shared" si="8"/>
        <v>0.79</v>
      </c>
      <c r="U39" s="25">
        <f t="shared" si="9"/>
        <v>0</v>
      </c>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hidden="1">
      <c r="A48" s="9">
        <v>3</v>
      </c>
      <c r="B48" s="9" t="str">
        <f>B26</f>
        <v>成都瀚德科技有限公司</v>
      </c>
      <c r="C48" s="9" t="str">
        <f t="shared" ref="C48:G48" si="10">C26</f>
        <v>成都高新市场监管局</v>
      </c>
      <c r="D48" s="9" t="str">
        <f t="shared" si="10"/>
        <v>91510100693667819J</v>
      </c>
      <c r="E48" s="9" t="str">
        <f t="shared" si="10"/>
        <v>民营</v>
      </c>
      <c r="F48" s="9">
        <f t="shared" si="10"/>
        <v>0</v>
      </c>
      <c r="G48" s="9" t="str">
        <f t="shared" si="10"/>
        <v>4402235009100078721 工行成都城南支行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1">P50</f>
        <v>0</v>
      </c>
      <c r="T50" s="25">
        <f>(S50-S49)*$U$48*$K$48/360</f>
        <v>0</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hidden="1">
      <c r="A70" s="9">
        <v>4</v>
      </c>
      <c r="B70" s="9" t="str">
        <f>B48</f>
        <v>成都瀚德科技有限公司</v>
      </c>
      <c r="C70" s="9" t="str">
        <f t="shared" ref="C70:G70" si="13">C48</f>
        <v>成都高新市场监管局</v>
      </c>
      <c r="D70" s="9" t="str">
        <f t="shared" si="13"/>
        <v>91510100693667819J</v>
      </c>
      <c r="E70" s="9" t="str">
        <f t="shared" si="13"/>
        <v>民营</v>
      </c>
      <c r="F70" s="9">
        <f t="shared" si="13"/>
        <v>0</v>
      </c>
      <c r="G70" s="9" t="str">
        <f t="shared" si="13"/>
        <v>4402235009100078721 工行成都城南支行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70" hidden="1">
      <c r="A92" s="9">
        <v>5</v>
      </c>
      <c r="B92" s="9" t="str">
        <f>B70</f>
        <v>成都瀚德科技有限公司</v>
      </c>
      <c r="C92" s="9" t="str">
        <f t="shared" ref="C92:G92" si="14">C70</f>
        <v>成都高新市场监管局</v>
      </c>
      <c r="D92" s="9" t="str">
        <f t="shared" si="14"/>
        <v>91510100693667819J</v>
      </c>
      <c r="E92" s="9" t="str">
        <f t="shared" si="14"/>
        <v>民营</v>
      </c>
      <c r="F92" s="9">
        <f t="shared" si="14"/>
        <v>0</v>
      </c>
      <c r="G92" s="9" t="str">
        <f t="shared" si="14"/>
        <v>4402235009100078721 工行成都城南支行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940</v>
      </c>
      <c r="L114" s="9"/>
      <c r="M114" s="20"/>
      <c r="N114" s="16"/>
      <c r="O114" s="16"/>
      <c r="P114" s="9"/>
      <c r="Q114" s="9"/>
      <c r="R114" s="22">
        <f>R92+R70+R48+R26+R4</f>
        <v>13.71</v>
      </c>
      <c r="S114" s="9"/>
      <c r="T114" s="9"/>
      <c r="U114" s="9"/>
      <c r="V114" s="9"/>
      <c r="W114" s="9"/>
      <c r="X114" s="9"/>
      <c r="Y114" s="9">
        <f>Y92+Y70+Y48+Y26++Y4</f>
        <v>13.65</v>
      </c>
      <c r="Z114" s="9"/>
      <c r="AA114" s="9"/>
      <c r="AB114" s="9"/>
    </row>
    <row r="115" spans="1:28">
      <c r="I115" t="s">
        <v>49</v>
      </c>
      <c r="K115">
        <f>IF(K114&gt;3000,K116,K114)</f>
        <v>940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D116"/>
  <sheetViews>
    <sheetView topLeftCell="L1" zoomScale="80" zoomScaleNormal="80" workbookViewId="0">
      <pane ySplit="3" topLeftCell="A4" activePane="bottomLeft" state="frozen"/>
      <selection pane="bottomLeft" activeCell="N4" sqref="N4:AB4"/>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四川尚锐生物医药有限公司审计明细表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565</v>
      </c>
      <c r="C4" s="9" t="s">
        <v>289</v>
      </c>
      <c r="D4" s="9" t="s">
        <v>566</v>
      </c>
      <c r="E4" s="9" t="s">
        <v>101</v>
      </c>
      <c r="F4" s="9" t="s">
        <v>154</v>
      </c>
      <c r="G4" s="9" t="s">
        <v>567</v>
      </c>
      <c r="H4" s="9" t="s">
        <v>71</v>
      </c>
      <c r="I4" s="9" t="s">
        <v>568</v>
      </c>
      <c r="J4" s="9" t="s">
        <v>569</v>
      </c>
      <c r="K4" s="9">
        <v>1000</v>
      </c>
      <c r="L4" s="9" t="s">
        <v>570</v>
      </c>
      <c r="M4" s="20" t="s">
        <v>571</v>
      </c>
      <c r="N4" s="16">
        <v>44923</v>
      </c>
      <c r="O4" s="16">
        <v>45260</v>
      </c>
      <c r="P4" s="9">
        <f>P16-N4</f>
        <v>337</v>
      </c>
      <c r="Q4" s="22">
        <f>SUM(Q5:Q25)</f>
        <v>37.369999999999997</v>
      </c>
      <c r="R4" s="22">
        <v>15</v>
      </c>
      <c r="S4" s="9"/>
      <c r="T4" s="22">
        <f>SUM(T5:T25)</f>
        <v>37.409999999999997</v>
      </c>
      <c r="U4" s="23">
        <v>0.04</v>
      </c>
      <c r="V4" s="16"/>
      <c r="W4" s="9" t="s">
        <v>572</v>
      </c>
      <c r="X4" s="24">
        <v>1.4999999999999999E-2</v>
      </c>
      <c r="Y4" s="9">
        <f>ROUNDDOWN(IF((O4-N4+1)*K4*X4/365&gt;R4,R4,(O4-N4+1)*K4*X4/365),2)</f>
        <v>13.89</v>
      </c>
      <c r="Z4" s="22">
        <f>R4-Y4</f>
        <v>1.1100000000000001</v>
      </c>
      <c r="AA4" s="22" t="s">
        <v>108</v>
      </c>
      <c r="AB4" s="9" t="s">
        <v>61</v>
      </c>
      <c r="AD4" s="28">
        <f>(O4-N4+1)*K4*X4/365</f>
        <v>13.8904</v>
      </c>
    </row>
    <row r="5" spans="1:30" s="2" customFormat="1">
      <c r="A5" s="10"/>
      <c r="B5" s="10"/>
      <c r="C5" s="10"/>
      <c r="D5" s="10"/>
      <c r="E5" s="10"/>
      <c r="F5" s="10"/>
      <c r="G5" s="10"/>
      <c r="H5" s="10"/>
      <c r="I5" s="10"/>
      <c r="J5" s="10"/>
      <c r="K5" s="10"/>
      <c r="L5" s="10"/>
      <c r="M5" s="17"/>
      <c r="N5" s="18"/>
      <c r="O5" s="18"/>
      <c r="P5" s="19">
        <v>44946</v>
      </c>
      <c r="Q5" s="114">
        <v>2.52</v>
      </c>
      <c r="R5" s="10"/>
      <c r="S5" s="19">
        <f>P5</f>
        <v>44946</v>
      </c>
      <c r="T5" s="25">
        <f>(S5-N4)/360*$U$4*$K$4</f>
        <v>2.56</v>
      </c>
      <c r="U5" s="25">
        <f>T5-Q5</f>
        <v>0.04</v>
      </c>
      <c r="V5" s="18">
        <v>45260</v>
      </c>
      <c r="W5" s="10">
        <v>1000</v>
      </c>
      <c r="X5" s="10"/>
      <c r="Y5" s="10">
        <f>ROUNDDOWN((V5-N4)*K4*X4/365,2)</f>
        <v>13.84</v>
      </c>
      <c r="Z5" s="10"/>
      <c r="AA5" s="10"/>
      <c r="AB5" s="10"/>
    </row>
    <row r="6" spans="1:30" s="2" customFormat="1">
      <c r="A6" s="10"/>
      <c r="B6" s="10"/>
      <c r="C6" s="10"/>
      <c r="D6" s="10"/>
      <c r="E6" s="10"/>
      <c r="F6" s="10"/>
      <c r="G6" s="10"/>
      <c r="H6" s="10"/>
      <c r="I6" s="10"/>
      <c r="J6" s="10"/>
      <c r="K6" s="10"/>
      <c r="L6" s="10"/>
      <c r="M6" s="17"/>
      <c r="N6" s="18"/>
      <c r="O6" s="18"/>
      <c r="P6" s="19">
        <v>44977</v>
      </c>
      <c r="Q6" s="25">
        <v>3.44</v>
      </c>
      <c r="R6" s="10"/>
      <c r="S6" s="19">
        <f t="shared" ref="S6:S16" si="0">P6</f>
        <v>44977</v>
      </c>
      <c r="T6" s="25">
        <f>(S6-S5)*$K$4*$U$4/360</f>
        <v>3.44</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45005</v>
      </c>
      <c r="Q7" s="25">
        <v>3.11</v>
      </c>
      <c r="R7" s="10"/>
      <c r="S7" s="19">
        <f t="shared" si="0"/>
        <v>45005</v>
      </c>
      <c r="T7" s="25">
        <f t="shared" ref="T7:T16" si="1">(S7-S6)*$K$4*$U$4/360</f>
        <v>3.11</v>
      </c>
      <c r="U7" s="25">
        <f t="shared" ref="U7:U16"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45036</v>
      </c>
      <c r="Q8" s="25">
        <v>3.44</v>
      </c>
      <c r="R8" s="10"/>
      <c r="S8" s="19">
        <f t="shared" si="0"/>
        <v>45036</v>
      </c>
      <c r="T8" s="25">
        <f t="shared" si="1"/>
        <v>3.44</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45066</v>
      </c>
      <c r="Q9" s="25">
        <v>3.33</v>
      </c>
      <c r="R9" s="10"/>
      <c r="S9" s="19">
        <f t="shared" si="0"/>
        <v>45066</v>
      </c>
      <c r="T9" s="25">
        <f t="shared" si="1"/>
        <v>3.33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45097</v>
      </c>
      <c r="Q10" s="25">
        <v>3.44</v>
      </c>
      <c r="R10" s="10"/>
      <c r="S10" s="19">
        <f t="shared" si="0"/>
        <v>45097</v>
      </c>
      <c r="T10" s="25">
        <f t="shared" si="1"/>
        <v>3.44</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45127</v>
      </c>
      <c r="Q11" s="25">
        <v>3.33</v>
      </c>
      <c r="R11" s="10"/>
      <c r="S11" s="19">
        <f t="shared" si="0"/>
        <v>45127</v>
      </c>
      <c r="T11" s="25">
        <f t="shared" si="1"/>
        <v>3.33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45158</v>
      </c>
      <c r="Q12" s="25">
        <v>3.44</v>
      </c>
      <c r="R12" s="10"/>
      <c r="S12" s="19">
        <f t="shared" si="0"/>
        <v>45158</v>
      </c>
      <c r="T12" s="25">
        <f t="shared" si="1"/>
        <v>3.44</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45189</v>
      </c>
      <c r="Q13" s="25">
        <v>3.44</v>
      </c>
      <c r="R13" s="10"/>
      <c r="S13" s="19">
        <f t="shared" si="0"/>
        <v>45189</v>
      </c>
      <c r="T13" s="25">
        <f t="shared" si="1"/>
        <v>3.44</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45219</v>
      </c>
      <c r="Q14" s="25">
        <v>3.33</v>
      </c>
      <c r="R14" s="10"/>
      <c r="S14" s="19">
        <f t="shared" si="0"/>
        <v>45219</v>
      </c>
      <c r="T14" s="25">
        <f t="shared" si="1"/>
        <v>3.33</v>
      </c>
      <c r="U14" s="25">
        <f t="shared" si="2"/>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45250</v>
      </c>
      <c r="Q15" s="25">
        <v>3.44</v>
      </c>
      <c r="R15" s="10"/>
      <c r="S15" s="19">
        <f t="shared" si="0"/>
        <v>45250</v>
      </c>
      <c r="T15" s="25">
        <f t="shared" si="1"/>
        <v>3.44</v>
      </c>
      <c r="U15" s="25">
        <f t="shared" si="2"/>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45260</v>
      </c>
      <c r="Q16" s="25">
        <v>1.1100000000000001</v>
      </c>
      <c r="R16" s="10"/>
      <c r="S16" s="19">
        <f t="shared" si="0"/>
        <v>45260</v>
      </c>
      <c r="T16" s="25">
        <f t="shared" si="1"/>
        <v>1.1100000000000001</v>
      </c>
      <c r="U16" s="25">
        <f t="shared" si="2"/>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四川尚锐生物医药有限公司</v>
      </c>
      <c r="C26" s="9" t="str">
        <f t="shared" ref="C26:G26" si="3">C4</f>
        <v>成都高新区</v>
      </c>
      <c r="D26" s="9" t="str">
        <f t="shared" si="3"/>
        <v>915101006743448627</v>
      </c>
      <c r="E26" s="9" t="str">
        <f t="shared" si="3"/>
        <v>民营</v>
      </c>
      <c r="F26" s="9" t="str">
        <f t="shared" si="3"/>
        <v>成都高新技术产业开发区税务局</v>
      </c>
      <c r="G26" s="9" t="str">
        <f t="shared" si="3"/>
        <v>4402005609000009015工商银行成都华西医院支行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四川尚锐生物医药有限公司</v>
      </c>
      <c r="C48" s="9" t="str">
        <f t="shared" ref="C48:G48" si="7">C26</f>
        <v>成都高新区</v>
      </c>
      <c r="D48" s="9" t="str">
        <f t="shared" si="7"/>
        <v>915101006743448627</v>
      </c>
      <c r="E48" s="9" t="str">
        <f t="shared" si="7"/>
        <v>民营</v>
      </c>
      <c r="F48" s="9" t="str">
        <f t="shared" si="7"/>
        <v>成都高新技术产业开发区税务局</v>
      </c>
      <c r="G48" s="9" t="str">
        <f t="shared" si="7"/>
        <v>4402005609000009015工商银行成都华西医院支行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四川尚锐生物医药有限公司</v>
      </c>
      <c r="C70" s="9" t="str">
        <f t="shared" ref="C70:G70" si="10">C48</f>
        <v>成都高新区</v>
      </c>
      <c r="D70" s="9" t="str">
        <f t="shared" si="10"/>
        <v>915101006743448627</v>
      </c>
      <c r="E70" s="9" t="str">
        <f t="shared" si="10"/>
        <v>民营</v>
      </c>
      <c r="F70" s="9" t="str">
        <f t="shared" si="10"/>
        <v>成都高新技术产业开发区税务局</v>
      </c>
      <c r="G70" s="9" t="str">
        <f t="shared" si="10"/>
        <v>4402005609000009015工商银行成都华西医院支行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四川尚锐生物医药有限公司</v>
      </c>
      <c r="C92" s="9" t="str">
        <f t="shared" ref="C92:G92" si="11">C70</f>
        <v>成都高新区</v>
      </c>
      <c r="D92" s="9" t="str">
        <f t="shared" si="11"/>
        <v>915101006743448627</v>
      </c>
      <c r="E92" s="9" t="str">
        <f t="shared" si="11"/>
        <v>民营</v>
      </c>
      <c r="F92" s="9" t="str">
        <f t="shared" si="11"/>
        <v>成都高新技术产业开发区税务局</v>
      </c>
      <c r="G92" s="9" t="str">
        <f t="shared" si="11"/>
        <v>4402005609000009015工商银行成都华西医院支行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15</v>
      </c>
      <c r="S114" s="9"/>
      <c r="T114" s="9"/>
      <c r="U114" s="9"/>
      <c r="V114" s="9"/>
      <c r="W114" s="9"/>
      <c r="X114" s="9"/>
      <c r="Y114" s="9">
        <f>Y92+Y70+Y48+Y26++Y4</f>
        <v>13.89</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D116"/>
  <sheetViews>
    <sheetView topLeftCell="G1" zoomScale="70" zoomScaleNormal="70" workbookViewId="0">
      <pane ySplit="3" topLeftCell="A4" activePane="bottomLeft" state="frozen"/>
      <selection pane="bottomLeft" activeCell="X7" sqref="X7"/>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威特龙消防安全集团股份公司审计明细表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54">
      <c r="A4" s="9">
        <v>1</v>
      </c>
      <c r="B4" s="9" t="s">
        <v>573</v>
      </c>
      <c r="C4" s="9" t="s">
        <v>574</v>
      </c>
      <c r="D4" s="9" t="s">
        <v>575</v>
      </c>
      <c r="E4" s="9" t="s">
        <v>54</v>
      </c>
      <c r="F4" s="9" t="s">
        <v>154</v>
      </c>
      <c r="G4" s="9" t="s">
        <v>576</v>
      </c>
      <c r="H4" s="9" t="s">
        <v>71</v>
      </c>
      <c r="I4" s="9" t="s">
        <v>577</v>
      </c>
      <c r="J4" s="9" t="s">
        <v>84</v>
      </c>
      <c r="K4" s="9">
        <v>1000</v>
      </c>
      <c r="L4" s="9" t="s">
        <v>578</v>
      </c>
      <c r="M4" s="20" t="s">
        <v>579</v>
      </c>
      <c r="N4" s="16">
        <v>45231</v>
      </c>
      <c r="O4" s="16">
        <v>45291</v>
      </c>
      <c r="P4" s="9">
        <f>P7-N4</f>
        <v>81</v>
      </c>
      <c r="Q4" s="22">
        <f>SUM(Q5:Q25)</f>
        <v>7.88</v>
      </c>
      <c r="R4" s="22">
        <v>2.5099999999999998</v>
      </c>
      <c r="S4" s="9"/>
      <c r="T4" s="22">
        <f>SUM(T5:T25)</f>
        <v>7.87</v>
      </c>
      <c r="U4" s="23">
        <v>3.5000000000000003E-2</v>
      </c>
      <c r="V4" s="16"/>
      <c r="W4" s="9" t="s">
        <v>42</v>
      </c>
      <c r="X4" s="24">
        <v>1.4999999999999999E-2</v>
      </c>
      <c r="Y4" s="9">
        <f>ROUNDDOWN(IF((O4-N4+1)*K4*X4/365&gt;R4,R4,(O4-N4+1)*K4*X4/365),2)</f>
        <v>2.5</v>
      </c>
      <c r="Z4" s="22">
        <f>R4-Y4</f>
        <v>0.01</v>
      </c>
      <c r="AA4" s="22" t="s">
        <v>43</v>
      </c>
      <c r="AB4" s="9" t="s">
        <v>580</v>
      </c>
      <c r="AD4" s="28">
        <f>(O4-N4+1)*K4*X4/365</f>
        <v>2.5068000000000001</v>
      </c>
    </row>
    <row r="5" spans="1:30" s="2" customFormat="1">
      <c r="A5" s="10"/>
      <c r="B5" s="10"/>
      <c r="C5" s="10"/>
      <c r="D5" s="10"/>
      <c r="E5" s="10"/>
      <c r="F5" s="10"/>
      <c r="G5" s="10"/>
      <c r="H5" s="10"/>
      <c r="I5" s="10"/>
      <c r="J5" s="10"/>
      <c r="K5" s="10"/>
      <c r="L5" s="10"/>
      <c r="M5" s="17"/>
      <c r="N5" s="18"/>
      <c r="O5" s="16">
        <v>45961</v>
      </c>
      <c r="P5" s="19">
        <v>45251</v>
      </c>
      <c r="Q5" s="25">
        <f>0.97*2</f>
        <v>1.94</v>
      </c>
      <c r="R5" s="10"/>
      <c r="S5" s="19">
        <f>P5</f>
        <v>45251</v>
      </c>
      <c r="T5" s="25">
        <f>(S5-N4)/360*$U$4*$K$4</f>
        <v>1.94</v>
      </c>
      <c r="U5" s="25">
        <f>T5-Q5</f>
        <v>0</v>
      </c>
      <c r="V5" s="18"/>
      <c r="W5" s="10"/>
      <c r="X5" s="10"/>
      <c r="Y5" s="10">
        <f>ROUNDDOWN((V5-N4)*K4*X4/365,2)</f>
        <v>-1858.8</v>
      </c>
      <c r="Z5" s="10"/>
      <c r="AA5" s="10"/>
      <c r="AB5" s="10"/>
    </row>
    <row r="6" spans="1:30" s="2" customFormat="1">
      <c r="A6" s="10"/>
      <c r="B6" s="10"/>
      <c r="C6" s="10"/>
      <c r="D6" s="10"/>
      <c r="E6" s="10"/>
      <c r="F6" s="10"/>
      <c r="G6" s="10"/>
      <c r="H6" s="10"/>
      <c r="I6" s="10"/>
      <c r="J6" s="10"/>
      <c r="K6" s="10"/>
      <c r="L6" s="10"/>
      <c r="M6" s="17"/>
      <c r="N6" s="18"/>
      <c r="O6" s="18"/>
      <c r="P6" s="19">
        <v>45281</v>
      </c>
      <c r="Q6" s="25">
        <f>1.46*2</f>
        <v>2.92</v>
      </c>
      <c r="R6" s="10"/>
      <c r="S6" s="19">
        <f t="shared" ref="S6:S7" si="0">P6</f>
        <v>45281</v>
      </c>
      <c r="T6" s="25">
        <f>(S6-S5)*$K$4*$U$4/360</f>
        <v>2.92</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45312</v>
      </c>
      <c r="Q7" s="25">
        <f>1.51*2</f>
        <v>3.02</v>
      </c>
      <c r="R7" s="10"/>
      <c r="S7" s="19">
        <f t="shared" si="0"/>
        <v>45312</v>
      </c>
      <c r="T7" s="25">
        <f t="shared" ref="T7" si="1">(S7-S6)*$K$4*$U$4/360</f>
        <v>3.01</v>
      </c>
      <c r="U7" s="25">
        <f t="shared" ref="U7" si="2">T7-Q7</f>
        <v>-0.01</v>
      </c>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威特龙消防安全集团股份公司</v>
      </c>
      <c r="C26" s="9" t="str">
        <f t="shared" ref="C26:G26" si="3">C4</f>
        <v>四川省市场监督管理局</v>
      </c>
      <c r="D26" s="9" t="str">
        <f t="shared" si="3"/>
        <v>91510000698873187M</v>
      </c>
      <c r="E26" s="9" t="str">
        <f t="shared" si="3"/>
        <v>股份有限公司</v>
      </c>
      <c r="F26" s="9" t="str">
        <f t="shared" si="3"/>
        <v>成都高新技术产业开发区税务局</v>
      </c>
      <c r="G26" s="9" t="str">
        <f t="shared" si="3"/>
        <v>中国银行股份有限公司郫都支行122556288822</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84" hidden="1">
      <c r="A48" s="9">
        <v>3</v>
      </c>
      <c r="B48" s="9" t="str">
        <f>B26</f>
        <v>威特龙消防安全集团股份公司</v>
      </c>
      <c r="C48" s="9" t="str">
        <f t="shared" ref="C48:G48" si="7">C26</f>
        <v>四川省市场监督管理局</v>
      </c>
      <c r="D48" s="9" t="str">
        <f t="shared" si="7"/>
        <v>91510000698873187M</v>
      </c>
      <c r="E48" s="9" t="str">
        <f t="shared" si="7"/>
        <v>股份有限公司</v>
      </c>
      <c r="F48" s="9" t="str">
        <f t="shared" si="7"/>
        <v>成都高新技术产业开发区税务局</v>
      </c>
      <c r="G48" s="9" t="str">
        <f t="shared" si="7"/>
        <v>中国银行股份有限公司郫都支行122556288822</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84" hidden="1">
      <c r="A70" s="9">
        <v>4</v>
      </c>
      <c r="B70" s="9" t="str">
        <f>B48</f>
        <v>威特龙消防安全集团股份公司</v>
      </c>
      <c r="C70" s="9" t="str">
        <f t="shared" ref="C70:G70" si="10">C48</f>
        <v>四川省市场监督管理局</v>
      </c>
      <c r="D70" s="9" t="str">
        <f t="shared" si="10"/>
        <v>91510000698873187M</v>
      </c>
      <c r="E70" s="9" t="str">
        <f t="shared" si="10"/>
        <v>股份有限公司</v>
      </c>
      <c r="F70" s="9" t="str">
        <f t="shared" si="10"/>
        <v>成都高新技术产业开发区税务局</v>
      </c>
      <c r="G70" s="9" t="str">
        <f t="shared" si="10"/>
        <v>中国银行股份有限公司郫都支行122556288822</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84" hidden="1">
      <c r="A92" s="9">
        <v>5</v>
      </c>
      <c r="B92" s="9" t="str">
        <f>B70</f>
        <v>威特龙消防安全集团股份公司</v>
      </c>
      <c r="C92" s="9" t="str">
        <f t="shared" ref="C92:G92" si="11">C70</f>
        <v>四川省市场监督管理局</v>
      </c>
      <c r="D92" s="9" t="str">
        <f t="shared" si="11"/>
        <v>91510000698873187M</v>
      </c>
      <c r="E92" s="9" t="str">
        <f t="shared" si="11"/>
        <v>股份有限公司</v>
      </c>
      <c r="F92" s="9" t="str">
        <f t="shared" si="11"/>
        <v>成都高新技术产业开发区税务局</v>
      </c>
      <c r="G92" s="9" t="str">
        <f t="shared" si="11"/>
        <v>中国银行股份有限公司郫都支行122556288822</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22">
        <f>R92+R70+R48+R26+R4</f>
        <v>2.5099999999999998</v>
      </c>
      <c r="S114" s="9"/>
      <c r="T114" s="9"/>
      <c r="U114" s="9"/>
      <c r="V114" s="9"/>
      <c r="W114" s="9"/>
      <c r="X114" s="9"/>
      <c r="Y114" s="9">
        <f>Y92+Y70+Y48+Y26++Y4</f>
        <v>2.5</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116"/>
  <sheetViews>
    <sheetView zoomScale="80" zoomScaleNormal="80" workbookViewId="0">
      <pane ySplit="3" topLeftCell="A4" activePane="bottomLeft" state="frozen"/>
      <selection pane="bottomLeft" activeCell="B4" sqref="B4:AB26"/>
    </sheetView>
  </sheetViews>
  <sheetFormatPr defaultColWidth="9" defaultRowHeight="14"/>
  <cols>
    <col min="7" max="7" width="9" hidden="1" customWidth="1"/>
    <col min="14" max="14" width="10.75" style="4" customWidth="1"/>
    <col min="15" max="15" width="11.0820312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四川华控图形科技有限公司审计明细表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581</v>
      </c>
      <c r="C4" s="9" t="s">
        <v>582</v>
      </c>
      <c r="D4" s="9" t="s">
        <v>583</v>
      </c>
      <c r="E4" s="9" t="s">
        <v>78</v>
      </c>
      <c r="F4" s="9" t="s">
        <v>584</v>
      </c>
      <c r="G4" s="9" t="s">
        <v>585</v>
      </c>
      <c r="H4" s="9" t="s">
        <v>71</v>
      </c>
      <c r="I4" s="9" t="s">
        <v>586</v>
      </c>
      <c r="J4" s="9" t="s">
        <v>73</v>
      </c>
      <c r="K4" s="9">
        <v>1000</v>
      </c>
      <c r="L4" s="9" t="s">
        <v>587</v>
      </c>
      <c r="M4" s="9" t="s">
        <v>587</v>
      </c>
      <c r="N4" s="16">
        <v>45155</v>
      </c>
      <c r="O4" s="16">
        <v>45291</v>
      </c>
      <c r="P4" s="9">
        <f>P7-N4</f>
        <v>217</v>
      </c>
      <c r="Q4" s="22">
        <f>SUM(Q5:Q25)</f>
        <v>22.92</v>
      </c>
      <c r="R4" s="22">
        <v>5.63</v>
      </c>
      <c r="S4" s="9"/>
      <c r="T4" s="22">
        <f>SUM(T5:T25)</f>
        <v>22.91</v>
      </c>
      <c r="U4" s="23">
        <v>3.7999999999999999E-2</v>
      </c>
      <c r="V4" s="16"/>
      <c r="W4" s="9" t="s">
        <v>42</v>
      </c>
      <c r="X4" s="24">
        <f>IFERROR(INDEX(#REF!,MATCH('68'!H4,#REF!)),0)</f>
        <v>0</v>
      </c>
      <c r="Y4" s="9">
        <f>ROUNDDOWN(IF((O4-N4+1)*K4*X4/365&gt;R4,R4,(O4-N4+1)*K4*X4/365),2)</f>
        <v>0</v>
      </c>
      <c r="Z4" s="22">
        <f>R4-Y4</f>
        <v>5.63</v>
      </c>
      <c r="AA4" s="22"/>
      <c r="AB4" s="9" t="s">
        <v>61</v>
      </c>
      <c r="AD4" s="28"/>
    </row>
    <row r="5" spans="1:30" s="2" customFormat="1">
      <c r="A5" s="10"/>
      <c r="B5" s="10"/>
      <c r="C5" s="10"/>
      <c r="D5" s="10"/>
      <c r="E5" s="10"/>
      <c r="F5" s="10"/>
      <c r="G5" s="10"/>
      <c r="H5" s="10"/>
      <c r="I5" s="10"/>
      <c r="J5" s="10"/>
      <c r="K5" s="10"/>
      <c r="L5" s="10"/>
      <c r="M5" s="10"/>
      <c r="N5" s="18"/>
      <c r="O5" s="16">
        <v>45521</v>
      </c>
      <c r="P5" s="19">
        <v>45190</v>
      </c>
      <c r="Q5" s="25">
        <v>3.7</v>
      </c>
      <c r="R5" s="10"/>
      <c r="S5" s="19">
        <f>P5</f>
        <v>45190</v>
      </c>
      <c r="T5" s="25">
        <f>(S5-N4)/360*$U$4*$K$4</f>
        <v>3.69</v>
      </c>
      <c r="U5" s="25">
        <f>T5-Q5</f>
        <v>-0.01</v>
      </c>
      <c r="V5" s="18"/>
      <c r="W5" s="10"/>
      <c r="X5" s="10"/>
      <c r="Y5" s="10"/>
      <c r="Z5" s="10"/>
      <c r="AA5" s="10"/>
      <c r="AB5" s="10"/>
    </row>
    <row r="6" spans="1:30" s="2" customFormat="1">
      <c r="A6" s="10"/>
      <c r="B6" s="10"/>
      <c r="C6" s="10"/>
      <c r="D6" s="10"/>
      <c r="E6" s="10"/>
      <c r="F6" s="10"/>
      <c r="G6" s="10"/>
      <c r="H6" s="10"/>
      <c r="I6" s="10"/>
      <c r="J6" s="10"/>
      <c r="K6" s="10"/>
      <c r="L6" s="10"/>
      <c r="M6" s="10"/>
      <c r="N6" s="18"/>
      <c r="O6" s="18"/>
      <c r="P6" s="19">
        <v>45281</v>
      </c>
      <c r="Q6" s="25">
        <v>9.61</v>
      </c>
      <c r="R6" s="10"/>
      <c r="S6" s="19">
        <f>P6</f>
        <v>45281</v>
      </c>
      <c r="T6" s="25">
        <f>(S6-S5)*$K$4*$U$4/360</f>
        <v>9.61</v>
      </c>
      <c r="U6" s="25">
        <f>T6-Q6</f>
        <v>0</v>
      </c>
      <c r="V6" s="10"/>
      <c r="W6" s="10"/>
      <c r="X6" s="10"/>
      <c r="Y6" s="10"/>
      <c r="Z6" s="10"/>
      <c r="AA6" s="10"/>
      <c r="AB6" s="10"/>
    </row>
    <row r="7" spans="1:30" s="2" customFormat="1">
      <c r="A7" s="10"/>
      <c r="B7" s="10"/>
      <c r="C7" s="10"/>
      <c r="D7" s="10"/>
      <c r="E7" s="10"/>
      <c r="F7" s="10"/>
      <c r="G7" s="10"/>
      <c r="H7" s="10"/>
      <c r="I7" s="10"/>
      <c r="J7" s="10"/>
      <c r="K7" s="10"/>
      <c r="L7" s="10"/>
      <c r="M7" s="10"/>
      <c r="N7" s="18"/>
      <c r="O7" s="18"/>
      <c r="P7" s="19">
        <v>45372</v>
      </c>
      <c r="Q7" s="25">
        <v>9.61</v>
      </c>
      <c r="R7" s="10"/>
      <c r="S7" s="19">
        <f t="shared" ref="S7" si="0">P7</f>
        <v>45372</v>
      </c>
      <c r="T7" s="25">
        <f t="shared" ref="T7" si="1">(S7-S6)*$K$4*$U$4/360</f>
        <v>9.61</v>
      </c>
      <c r="U7" s="25">
        <f t="shared" ref="U7" si="2">T7-Q7</f>
        <v>0</v>
      </c>
      <c r="V7" s="10"/>
      <c r="W7" s="10"/>
      <c r="X7" s="10"/>
      <c r="Y7" s="10"/>
      <c r="Z7" s="10"/>
      <c r="AA7" s="10"/>
      <c r="AB7" s="10"/>
    </row>
    <row r="8" spans="1:30" s="2" customFormat="1" hidden="1">
      <c r="A8" s="10"/>
      <c r="B8" s="10"/>
      <c r="C8" s="10"/>
      <c r="D8" s="10"/>
      <c r="E8" s="10"/>
      <c r="F8" s="10"/>
      <c r="G8" s="10"/>
      <c r="H8" s="10"/>
      <c r="I8" s="10"/>
      <c r="J8" s="10"/>
      <c r="K8" s="10"/>
      <c r="L8" s="10"/>
      <c r="M8" s="10"/>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0"/>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0"/>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0"/>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0"/>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98" hidden="1">
      <c r="A26" s="9">
        <v>2</v>
      </c>
      <c r="B26" s="9" t="str">
        <f>B4</f>
        <v>四川华控图形科技有限公司</v>
      </c>
      <c r="C26" s="9" t="str">
        <f t="shared" ref="C26:G26" si="3">C4</f>
        <v>成都市成华区行政审批局</v>
      </c>
      <c r="D26" s="9" t="str">
        <f t="shared" si="3"/>
        <v>9151000073159632XO</v>
      </c>
      <c r="E26" s="9" t="str">
        <f t="shared" si="3"/>
        <v>民营企业</v>
      </c>
      <c r="F26" s="9" t="str">
        <f t="shared" si="3"/>
        <v>成都市成华区税务局</v>
      </c>
      <c r="G26" s="9" t="str">
        <f t="shared" si="3"/>
        <v>51001416138050386932(中国建设银行股份有限公司成都成华支行)</v>
      </c>
      <c r="H26" s="9" t="s">
        <v>65</v>
      </c>
      <c r="I26" s="9"/>
      <c r="J26" s="9"/>
      <c r="K26" s="9"/>
      <c r="L26" s="9"/>
      <c r="M26" s="9"/>
      <c r="N26" s="16"/>
      <c r="O26" s="16"/>
      <c r="P26" s="9">
        <f>P32-N26</f>
        <v>0</v>
      </c>
      <c r="Q26" s="22">
        <f>SUM(Q27:Q47)</f>
        <v>0</v>
      </c>
      <c r="R26" s="9"/>
      <c r="S26" s="9"/>
      <c r="T26" s="9">
        <f>SUM(T27:T47)</f>
        <v>0</v>
      </c>
      <c r="U26" s="23"/>
      <c r="V26" s="16"/>
      <c r="W26" s="9"/>
      <c r="X26" s="24"/>
      <c r="Y26" s="9">
        <f>ROUNDUP(IF((O26-N26+1)*K26*X26/365&gt;R26,R26,(O26-N26+1)*K26*X26/365),2)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0"/>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0"/>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0"/>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0"/>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0"/>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0"/>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0"/>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0"/>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row>
    <row r="48" spans="1:28" s="1" customFormat="1" ht="98" hidden="1">
      <c r="A48" s="9">
        <v>3</v>
      </c>
      <c r="B48" s="9" t="str">
        <f>B26</f>
        <v>四川华控图形科技有限公司</v>
      </c>
      <c r="C48" s="9" t="str">
        <f t="shared" ref="C48:G48" si="7">C26</f>
        <v>成都市成华区行政审批局</v>
      </c>
      <c r="D48" s="9" t="str">
        <f t="shared" si="7"/>
        <v>9151000073159632XO</v>
      </c>
      <c r="E48" s="9" t="str">
        <f t="shared" si="7"/>
        <v>民营企业</v>
      </c>
      <c r="F48" s="9" t="str">
        <f t="shared" si="7"/>
        <v>成都市成华区税务局</v>
      </c>
      <c r="G48" s="9" t="str">
        <f t="shared" si="7"/>
        <v>51001416138050386932(中国建设银行股份有限公司成都成华支行)</v>
      </c>
      <c r="H48" s="9" t="s">
        <v>65</v>
      </c>
      <c r="I48" s="9" t="s">
        <v>57</v>
      </c>
      <c r="J48" s="9" t="s">
        <v>66</v>
      </c>
      <c r="K48" s="9"/>
      <c r="L48" s="9"/>
      <c r="M48" s="9"/>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0"/>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98" hidden="1">
      <c r="A70" s="9">
        <v>4</v>
      </c>
      <c r="B70" s="9" t="str">
        <f>B48</f>
        <v>四川华控图形科技有限公司</v>
      </c>
      <c r="C70" s="9" t="str">
        <f t="shared" ref="C70:G70" si="10">C48</f>
        <v>成都市成华区行政审批局</v>
      </c>
      <c r="D70" s="9" t="str">
        <f t="shared" si="10"/>
        <v>9151000073159632XO</v>
      </c>
      <c r="E70" s="9" t="str">
        <f t="shared" si="10"/>
        <v>民营企业</v>
      </c>
      <c r="F70" s="9" t="str">
        <f t="shared" si="10"/>
        <v>成都市成华区税务局</v>
      </c>
      <c r="G70" s="9" t="str">
        <f t="shared" si="10"/>
        <v>51001416138050386932(中国建设银行股份有限公司成都成华支行)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98" hidden="1">
      <c r="A92" s="9">
        <v>5</v>
      </c>
      <c r="B92" s="9" t="str">
        <f>B70</f>
        <v>四川华控图形科技有限公司</v>
      </c>
      <c r="C92" s="9" t="str">
        <f t="shared" ref="C92:G92" si="11">C70</f>
        <v>成都市成华区行政审批局</v>
      </c>
      <c r="D92" s="9" t="str">
        <f t="shared" si="11"/>
        <v>9151000073159632XO</v>
      </c>
      <c r="E92" s="9" t="str">
        <f t="shared" si="11"/>
        <v>民营企业</v>
      </c>
      <c r="F92" s="9" t="str">
        <f t="shared" si="11"/>
        <v>成都市成华区税务局</v>
      </c>
      <c r="G92" s="9" t="str">
        <f t="shared" si="11"/>
        <v>51001416138050386932(中国建设银行股份有限公司成都成华支行)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9"/>
      <c r="N114" s="16"/>
      <c r="O114" s="16"/>
      <c r="P114" s="9"/>
      <c r="Q114" s="9"/>
      <c r="R114" s="9">
        <f>R92+R70+R48+R26++R4</f>
        <v>5.63</v>
      </c>
      <c r="S114" s="9"/>
      <c r="T114" s="9"/>
      <c r="U114" s="9"/>
      <c r="V114" s="9"/>
      <c r="W114" s="9"/>
      <c r="X114" s="9"/>
      <c r="Y114" s="9">
        <f>Y92+Y70+Y48+Y26++Y4</f>
        <v>0</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3:D66"/>
  <sheetViews>
    <sheetView topLeftCell="A52" workbookViewId="0">
      <selection activeCell="C69" sqref="C69"/>
    </sheetView>
  </sheetViews>
  <sheetFormatPr defaultColWidth="9" defaultRowHeight="14"/>
  <cols>
    <col min="1" max="1" width="33.75"/>
    <col min="2" max="2" width="15.58203125"/>
    <col min="3" max="3" width="19.75"/>
    <col min="4" max="4" width="15.58203125"/>
  </cols>
  <sheetData>
    <row r="3" spans="1:4">
      <c r="A3" t="s">
        <v>588</v>
      </c>
      <c r="B3" t="s">
        <v>589</v>
      </c>
      <c r="C3" t="s">
        <v>590</v>
      </c>
      <c r="D3" t="s">
        <v>591</v>
      </c>
    </row>
    <row r="4" spans="1:4">
      <c r="A4" s="128" t="s">
        <v>475</v>
      </c>
      <c r="B4">
        <v>2</v>
      </c>
      <c r="C4">
        <v>30.15</v>
      </c>
      <c r="D4">
        <v>1999</v>
      </c>
    </row>
    <row r="5" spans="1:4">
      <c r="A5" s="128" t="s">
        <v>500</v>
      </c>
      <c r="B5">
        <v>2</v>
      </c>
      <c r="C5">
        <v>29.98</v>
      </c>
      <c r="D5">
        <v>1998</v>
      </c>
    </row>
    <row r="6" spans="1:4">
      <c r="A6" s="128" t="s">
        <v>309</v>
      </c>
      <c r="B6">
        <v>4</v>
      </c>
      <c r="C6">
        <v>44.53</v>
      </c>
      <c r="D6">
        <v>2550</v>
      </c>
    </row>
    <row r="7" spans="1:4">
      <c r="A7" s="128" t="s">
        <v>325</v>
      </c>
      <c r="B7">
        <v>1</v>
      </c>
      <c r="C7">
        <v>1.4</v>
      </c>
      <c r="D7">
        <v>350</v>
      </c>
    </row>
    <row r="8" spans="1:4">
      <c r="A8" s="128" t="s">
        <v>231</v>
      </c>
      <c r="B8">
        <v>1</v>
      </c>
      <c r="C8">
        <v>3</v>
      </c>
      <c r="D8">
        <v>768</v>
      </c>
    </row>
    <row r="9" spans="1:4">
      <c r="A9" s="128" t="s">
        <v>486</v>
      </c>
      <c r="B9">
        <v>1</v>
      </c>
      <c r="C9">
        <v>40</v>
      </c>
      <c r="D9">
        <v>2000</v>
      </c>
    </row>
    <row r="10" spans="1:4">
      <c r="A10" s="128" t="s">
        <v>266</v>
      </c>
      <c r="B10">
        <v>2</v>
      </c>
      <c r="C10">
        <v>6.02</v>
      </c>
      <c r="D10">
        <v>601</v>
      </c>
    </row>
    <row r="11" spans="1:4">
      <c r="A11" s="128" t="s">
        <v>192</v>
      </c>
      <c r="B11">
        <v>1</v>
      </c>
      <c r="C11">
        <v>7.5</v>
      </c>
      <c r="D11">
        <v>500</v>
      </c>
    </row>
    <row r="12" spans="1:4">
      <c r="A12" s="128" t="s">
        <v>163</v>
      </c>
      <c r="B12">
        <v>1</v>
      </c>
      <c r="C12">
        <v>7.03</v>
      </c>
      <c r="D12">
        <v>1000</v>
      </c>
    </row>
    <row r="13" spans="1:4">
      <c r="A13" s="128" t="s">
        <v>389</v>
      </c>
      <c r="B13">
        <v>1</v>
      </c>
      <c r="C13">
        <v>3.74</v>
      </c>
      <c r="D13">
        <v>1000</v>
      </c>
    </row>
    <row r="14" spans="1:4">
      <c r="A14" s="128" t="s">
        <v>394</v>
      </c>
      <c r="B14">
        <v>1</v>
      </c>
      <c r="C14">
        <v>7.6</v>
      </c>
      <c r="D14">
        <v>1000</v>
      </c>
    </row>
    <row r="15" spans="1:4">
      <c r="A15" s="128" t="s">
        <v>98</v>
      </c>
      <c r="B15">
        <v>2</v>
      </c>
      <c r="C15">
        <v>13.71</v>
      </c>
      <c r="D15">
        <v>940</v>
      </c>
    </row>
    <row r="16" spans="1:4">
      <c r="A16" s="128" t="s">
        <v>88</v>
      </c>
      <c r="B16">
        <v>2</v>
      </c>
      <c r="C16">
        <v>15.36</v>
      </c>
      <c r="D16">
        <v>2000</v>
      </c>
    </row>
    <row r="17" spans="1:4">
      <c r="A17" s="128" t="s">
        <v>339</v>
      </c>
      <c r="B17">
        <v>2</v>
      </c>
      <c r="C17">
        <v>15.75</v>
      </c>
      <c r="D17">
        <v>1050</v>
      </c>
    </row>
    <row r="18" spans="1:4">
      <c r="A18" s="128" t="s">
        <v>355</v>
      </c>
      <c r="B18">
        <v>2</v>
      </c>
      <c r="C18">
        <v>1.96</v>
      </c>
      <c r="D18">
        <v>360</v>
      </c>
    </row>
    <row r="19" spans="1:4">
      <c r="A19" s="128" t="s">
        <v>31</v>
      </c>
      <c r="B19">
        <v>2</v>
      </c>
      <c r="C19">
        <v>2.11</v>
      </c>
      <c r="D19">
        <v>300</v>
      </c>
    </row>
    <row r="20" spans="1:4">
      <c r="A20" s="128" t="s">
        <v>521</v>
      </c>
      <c r="B20">
        <v>2</v>
      </c>
      <c r="C20">
        <v>36.9</v>
      </c>
      <c r="D20">
        <v>2000</v>
      </c>
    </row>
    <row r="21" spans="1:4">
      <c r="A21" s="128" t="s">
        <v>541</v>
      </c>
      <c r="B21">
        <v>1</v>
      </c>
      <c r="C21">
        <v>11.38</v>
      </c>
      <c r="D21">
        <v>1000</v>
      </c>
    </row>
    <row r="22" spans="1:4">
      <c r="A22" s="128" t="s">
        <v>282</v>
      </c>
      <c r="B22">
        <v>1</v>
      </c>
      <c r="C22">
        <v>2.67</v>
      </c>
      <c r="D22">
        <v>1000</v>
      </c>
    </row>
    <row r="23" spans="1:4">
      <c r="A23" s="128" t="s">
        <v>464</v>
      </c>
      <c r="B23">
        <v>2</v>
      </c>
      <c r="C23">
        <v>47.88</v>
      </c>
      <c r="D23">
        <v>2800</v>
      </c>
    </row>
    <row r="24" spans="1:4">
      <c r="A24" s="128" t="s">
        <v>120</v>
      </c>
      <c r="B24">
        <v>1</v>
      </c>
      <c r="C24">
        <v>9.86</v>
      </c>
      <c r="D24">
        <v>1000</v>
      </c>
    </row>
    <row r="25" spans="1:4">
      <c r="A25" s="128" t="s">
        <v>275</v>
      </c>
      <c r="B25">
        <v>1</v>
      </c>
      <c r="C25">
        <v>3.95</v>
      </c>
      <c r="D25">
        <v>1000</v>
      </c>
    </row>
    <row r="26" spans="1:4">
      <c r="A26" s="128" t="s">
        <v>513</v>
      </c>
      <c r="B26">
        <v>2</v>
      </c>
      <c r="C26">
        <v>10.11</v>
      </c>
      <c r="D26">
        <v>2000</v>
      </c>
    </row>
    <row r="27" spans="1:4">
      <c r="A27" s="128" t="s">
        <v>179</v>
      </c>
      <c r="B27">
        <v>1</v>
      </c>
      <c r="C27">
        <v>6.17</v>
      </c>
      <c r="D27">
        <v>550</v>
      </c>
    </row>
    <row r="28" spans="1:4">
      <c r="A28" s="128" t="s">
        <v>51</v>
      </c>
      <c r="B28">
        <v>2</v>
      </c>
      <c r="C28">
        <v>23.06</v>
      </c>
      <c r="D28">
        <v>1600</v>
      </c>
    </row>
    <row r="29" spans="1:4">
      <c r="A29" s="128" t="s">
        <v>199</v>
      </c>
      <c r="B29">
        <v>1</v>
      </c>
      <c r="C29">
        <v>7.07</v>
      </c>
      <c r="D29">
        <v>1000</v>
      </c>
    </row>
    <row r="30" spans="1:4">
      <c r="A30" s="128" t="s">
        <v>362</v>
      </c>
      <c r="B30">
        <v>2</v>
      </c>
      <c r="C30">
        <v>15</v>
      </c>
      <c r="D30">
        <v>1000</v>
      </c>
    </row>
    <row r="31" spans="1:4">
      <c r="A31" s="128" t="s">
        <v>205</v>
      </c>
      <c r="B31">
        <v>5</v>
      </c>
      <c r="C31">
        <v>1.73</v>
      </c>
      <c r="D31">
        <v>600</v>
      </c>
    </row>
    <row r="32" spans="1:4">
      <c r="A32" s="128" t="s">
        <v>444</v>
      </c>
      <c r="B32">
        <v>2</v>
      </c>
      <c r="C32">
        <v>27.82</v>
      </c>
      <c r="D32">
        <v>2000</v>
      </c>
    </row>
    <row r="33" spans="1:4">
      <c r="A33" s="128" t="s">
        <v>256</v>
      </c>
      <c r="B33">
        <v>2</v>
      </c>
      <c r="C33">
        <v>12.03</v>
      </c>
      <c r="D33">
        <v>1000</v>
      </c>
    </row>
    <row r="34" spans="1:4">
      <c r="A34" s="128" t="s">
        <v>534</v>
      </c>
      <c r="B34">
        <v>1</v>
      </c>
      <c r="C34">
        <v>15</v>
      </c>
      <c r="D34">
        <v>1000</v>
      </c>
    </row>
    <row r="35" spans="1:4">
      <c r="A35" s="128" t="s">
        <v>454</v>
      </c>
      <c r="B35">
        <v>3</v>
      </c>
      <c r="C35">
        <v>23.03</v>
      </c>
      <c r="D35">
        <v>2500</v>
      </c>
    </row>
    <row r="36" spans="1:4">
      <c r="A36" s="128" t="s">
        <v>152</v>
      </c>
      <c r="B36">
        <v>1</v>
      </c>
      <c r="C36">
        <v>10.74</v>
      </c>
      <c r="D36">
        <v>2000</v>
      </c>
    </row>
    <row r="37" spans="1:4">
      <c r="A37" s="128" t="s">
        <v>426</v>
      </c>
      <c r="B37">
        <v>1</v>
      </c>
      <c r="C37">
        <v>2.14</v>
      </c>
      <c r="D37">
        <v>3000</v>
      </c>
    </row>
    <row r="38" spans="1:4">
      <c r="A38" s="128" t="s">
        <v>237</v>
      </c>
      <c r="B38">
        <v>1</v>
      </c>
      <c r="C38">
        <v>10.210000000000001</v>
      </c>
      <c r="D38">
        <v>700</v>
      </c>
    </row>
    <row r="39" spans="1:4">
      <c r="A39" s="128" t="s">
        <v>371</v>
      </c>
      <c r="B39">
        <v>1</v>
      </c>
      <c r="C39">
        <v>7.64</v>
      </c>
      <c r="D39">
        <v>1000</v>
      </c>
    </row>
    <row r="40" spans="1:4">
      <c r="A40" s="128" t="s">
        <v>400</v>
      </c>
      <c r="B40">
        <v>1</v>
      </c>
      <c r="C40">
        <v>1.36</v>
      </c>
      <c r="D40">
        <v>1000</v>
      </c>
    </row>
    <row r="41" spans="1:4">
      <c r="A41" s="128" t="s">
        <v>556</v>
      </c>
      <c r="B41">
        <v>2</v>
      </c>
      <c r="C41">
        <v>2.58</v>
      </c>
      <c r="D41">
        <v>2000</v>
      </c>
    </row>
    <row r="42" spans="1:4">
      <c r="A42" s="128" t="s">
        <v>244</v>
      </c>
      <c r="B42">
        <v>1</v>
      </c>
      <c r="C42">
        <v>0.64</v>
      </c>
      <c r="D42">
        <v>100</v>
      </c>
    </row>
    <row r="43" spans="1:4">
      <c r="A43" s="128" t="s">
        <v>223</v>
      </c>
      <c r="B43">
        <v>1</v>
      </c>
      <c r="C43">
        <v>6.25</v>
      </c>
      <c r="D43">
        <v>500</v>
      </c>
    </row>
    <row r="44" spans="1:4">
      <c r="A44" s="128" t="s">
        <v>548</v>
      </c>
      <c r="B44">
        <v>1</v>
      </c>
      <c r="C44">
        <v>9.16</v>
      </c>
      <c r="D44">
        <v>1000</v>
      </c>
    </row>
    <row r="45" spans="1:4">
      <c r="A45" s="128" t="s">
        <v>288</v>
      </c>
      <c r="B45">
        <v>1</v>
      </c>
      <c r="C45">
        <v>11.69</v>
      </c>
      <c r="D45">
        <v>800</v>
      </c>
    </row>
    <row r="46" spans="1:4">
      <c r="A46" s="128" t="s">
        <v>76</v>
      </c>
      <c r="B46">
        <v>2</v>
      </c>
      <c r="C46">
        <v>11.92</v>
      </c>
      <c r="D46">
        <v>2000</v>
      </c>
    </row>
    <row r="47" spans="1:4">
      <c r="A47" s="128" t="s">
        <v>331</v>
      </c>
      <c r="B47">
        <v>2</v>
      </c>
      <c r="C47">
        <v>0.68</v>
      </c>
      <c r="D47">
        <v>501</v>
      </c>
    </row>
    <row r="48" spans="1:4">
      <c r="A48" s="128" t="s">
        <v>435</v>
      </c>
      <c r="B48">
        <v>1</v>
      </c>
      <c r="C48">
        <v>60</v>
      </c>
      <c r="D48">
        <v>3000</v>
      </c>
    </row>
    <row r="49" spans="1:4">
      <c r="A49" s="128" t="s">
        <v>350</v>
      </c>
      <c r="B49">
        <v>1</v>
      </c>
      <c r="C49">
        <v>7.5</v>
      </c>
      <c r="D49">
        <v>500</v>
      </c>
    </row>
    <row r="50" spans="1:4">
      <c r="A50" s="128" t="s">
        <v>418</v>
      </c>
      <c r="B50">
        <v>1</v>
      </c>
      <c r="C50">
        <v>7.4</v>
      </c>
      <c r="D50">
        <v>500</v>
      </c>
    </row>
    <row r="51" spans="1:4">
      <c r="A51" s="128" t="s">
        <v>494</v>
      </c>
      <c r="B51">
        <v>1</v>
      </c>
      <c r="C51">
        <v>5.96</v>
      </c>
      <c r="D51">
        <v>500</v>
      </c>
    </row>
    <row r="52" spans="1:4">
      <c r="A52" s="128" t="s">
        <v>127</v>
      </c>
      <c r="B52">
        <v>4</v>
      </c>
      <c r="C52">
        <v>46.32</v>
      </c>
      <c r="D52">
        <v>2998</v>
      </c>
    </row>
    <row r="53" spans="1:4">
      <c r="A53" s="128" t="s">
        <v>185</v>
      </c>
      <c r="B53">
        <v>1</v>
      </c>
      <c r="C53">
        <v>5.0999999999999996</v>
      </c>
      <c r="D53">
        <v>500</v>
      </c>
    </row>
    <row r="54" spans="1:4">
      <c r="A54" s="128" t="s">
        <v>565</v>
      </c>
      <c r="B54">
        <v>1</v>
      </c>
      <c r="C54">
        <v>15</v>
      </c>
      <c r="D54">
        <v>1000</v>
      </c>
    </row>
    <row r="55" spans="1:4">
      <c r="A55" s="128" t="s">
        <v>529</v>
      </c>
      <c r="B55">
        <v>1</v>
      </c>
      <c r="C55">
        <v>40</v>
      </c>
      <c r="D55">
        <v>2000</v>
      </c>
    </row>
    <row r="56" spans="1:4">
      <c r="A56" s="128" t="s">
        <v>251</v>
      </c>
      <c r="B56">
        <v>1</v>
      </c>
      <c r="C56">
        <v>5.85</v>
      </c>
      <c r="D56">
        <v>400</v>
      </c>
    </row>
    <row r="57" spans="1:4">
      <c r="A57" s="128" t="s">
        <v>171</v>
      </c>
      <c r="B57">
        <v>1</v>
      </c>
      <c r="C57">
        <v>1.22</v>
      </c>
      <c r="D57">
        <v>450</v>
      </c>
    </row>
    <row r="58" spans="1:4">
      <c r="A58" s="128" t="s">
        <v>144</v>
      </c>
      <c r="B58">
        <v>1</v>
      </c>
      <c r="C58">
        <v>2.99</v>
      </c>
      <c r="D58">
        <v>300</v>
      </c>
    </row>
    <row r="59" spans="1:4">
      <c r="A59" s="128" t="s">
        <v>301</v>
      </c>
      <c r="B59">
        <v>1</v>
      </c>
      <c r="C59">
        <v>3.84</v>
      </c>
      <c r="D59">
        <v>500</v>
      </c>
    </row>
    <row r="60" spans="1:4">
      <c r="A60" s="128" t="s">
        <v>113</v>
      </c>
      <c r="B60">
        <v>1</v>
      </c>
      <c r="C60">
        <v>1.47</v>
      </c>
      <c r="D60">
        <v>700</v>
      </c>
    </row>
    <row r="61" spans="1:4">
      <c r="A61" s="128" t="s">
        <v>67</v>
      </c>
      <c r="B61">
        <v>1</v>
      </c>
      <c r="C61">
        <v>7.6</v>
      </c>
      <c r="D61">
        <v>1000</v>
      </c>
    </row>
    <row r="62" spans="1:4">
      <c r="A62" s="128" t="s">
        <v>407</v>
      </c>
      <c r="B62">
        <v>2</v>
      </c>
      <c r="C62">
        <v>12.75</v>
      </c>
      <c r="D62">
        <v>950</v>
      </c>
    </row>
    <row r="63" spans="1:4">
      <c r="A63" s="128" t="s">
        <v>573</v>
      </c>
      <c r="B63">
        <v>1</v>
      </c>
      <c r="C63">
        <v>2.5099999999999998</v>
      </c>
      <c r="D63">
        <v>1000</v>
      </c>
    </row>
    <row r="64" spans="1:4">
      <c r="A64" s="128" t="s">
        <v>378</v>
      </c>
      <c r="B64">
        <v>3</v>
      </c>
      <c r="C64">
        <v>35.549999999999997</v>
      </c>
      <c r="D64">
        <v>2500</v>
      </c>
    </row>
    <row r="65" spans="1:4">
      <c r="A65" s="128" t="s">
        <v>592</v>
      </c>
      <c r="B65">
        <v>2</v>
      </c>
      <c r="C65">
        <v>10.43</v>
      </c>
      <c r="D65">
        <v>2000</v>
      </c>
    </row>
    <row r="66" spans="1:4">
      <c r="A66" s="128" t="s">
        <v>593</v>
      </c>
      <c r="B66">
        <v>96</v>
      </c>
      <c r="C66">
        <v>830</v>
      </c>
      <c r="D66">
        <v>75865</v>
      </c>
    </row>
  </sheetData>
  <phoneticPr fontId="31"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filterMode="1"/>
  <dimension ref="A3:G211"/>
  <sheetViews>
    <sheetView workbookViewId="0">
      <selection activeCell="A212" sqref="A212"/>
    </sheetView>
  </sheetViews>
  <sheetFormatPr defaultColWidth="9" defaultRowHeight="14"/>
  <cols>
    <col min="1" max="1" width="37.9140625" customWidth="1"/>
    <col min="2" max="2" width="18.6640625" customWidth="1"/>
  </cols>
  <sheetData>
    <row r="3" spans="1:7">
      <c r="A3" t="s">
        <v>588</v>
      </c>
      <c r="B3" t="s">
        <v>594</v>
      </c>
      <c r="F3" t="s">
        <v>588</v>
      </c>
      <c r="G3" t="s">
        <v>594</v>
      </c>
    </row>
    <row r="4" spans="1:7" hidden="1">
      <c r="A4" s="128" t="s">
        <v>595</v>
      </c>
      <c r="B4">
        <v>5.75</v>
      </c>
      <c r="F4" t="s">
        <v>595</v>
      </c>
      <c r="G4">
        <v>5.75</v>
      </c>
    </row>
    <row r="5" spans="1:7" hidden="1">
      <c r="A5" s="128" t="s">
        <v>596</v>
      </c>
      <c r="B5">
        <v>0.24</v>
      </c>
      <c r="F5" t="s">
        <v>596</v>
      </c>
      <c r="G5">
        <v>0.24</v>
      </c>
    </row>
    <row r="6" spans="1:7" hidden="1">
      <c r="A6" s="128" t="s">
        <v>475</v>
      </c>
      <c r="B6">
        <v>14.99</v>
      </c>
      <c r="F6" t="s">
        <v>475</v>
      </c>
      <c r="G6">
        <v>30.03</v>
      </c>
    </row>
    <row r="7" spans="1:7" hidden="1">
      <c r="A7" s="128" t="s">
        <v>597</v>
      </c>
      <c r="B7">
        <v>2.6</v>
      </c>
      <c r="F7" t="s">
        <v>597</v>
      </c>
      <c r="G7">
        <v>2.6</v>
      </c>
    </row>
    <row r="8" spans="1:7" hidden="1">
      <c r="A8" s="128" t="s">
        <v>500</v>
      </c>
      <c r="B8">
        <v>14.98</v>
      </c>
      <c r="F8" t="s">
        <v>500</v>
      </c>
      <c r="G8">
        <v>29.96</v>
      </c>
    </row>
    <row r="9" spans="1:7" hidden="1">
      <c r="A9" s="128" t="s">
        <v>598</v>
      </c>
      <c r="B9">
        <v>0</v>
      </c>
      <c r="F9" t="s">
        <v>598</v>
      </c>
      <c r="G9">
        <v>9.85</v>
      </c>
    </row>
    <row r="10" spans="1:7" hidden="1">
      <c r="A10" s="128" t="s">
        <v>309</v>
      </c>
      <c r="B10">
        <v>44.46</v>
      </c>
      <c r="F10" t="s">
        <v>309</v>
      </c>
      <c r="G10">
        <v>44.47</v>
      </c>
    </row>
    <row r="11" spans="1:7" hidden="1">
      <c r="A11" s="128" t="s">
        <v>599</v>
      </c>
      <c r="B11">
        <v>12.62</v>
      </c>
      <c r="F11" t="s">
        <v>599</v>
      </c>
      <c r="G11">
        <v>12.62</v>
      </c>
    </row>
    <row r="12" spans="1:7" hidden="1">
      <c r="A12" s="128" t="s">
        <v>600</v>
      </c>
      <c r="B12">
        <v>0.46</v>
      </c>
      <c r="F12" t="s">
        <v>600</v>
      </c>
      <c r="G12">
        <v>0.46</v>
      </c>
    </row>
    <row r="13" spans="1:7" hidden="1">
      <c r="A13" s="128" t="s">
        <v>601</v>
      </c>
      <c r="B13">
        <v>2.36</v>
      </c>
      <c r="F13" t="s">
        <v>601</v>
      </c>
      <c r="G13">
        <v>2.4700000000000002</v>
      </c>
    </row>
    <row r="14" spans="1:7" hidden="1">
      <c r="A14" s="128" t="s">
        <v>602</v>
      </c>
      <c r="B14">
        <v>6.4</v>
      </c>
      <c r="F14" t="s">
        <v>602</v>
      </c>
      <c r="G14">
        <v>6.4</v>
      </c>
    </row>
    <row r="15" spans="1:7" hidden="1">
      <c r="A15" s="128" t="s">
        <v>603</v>
      </c>
      <c r="B15">
        <v>2.4</v>
      </c>
      <c r="F15" t="s">
        <v>603</v>
      </c>
      <c r="G15">
        <v>2.4</v>
      </c>
    </row>
    <row r="16" spans="1:7" hidden="1">
      <c r="A16" s="128" t="s">
        <v>604</v>
      </c>
      <c r="B16">
        <v>12.04</v>
      </c>
      <c r="F16" t="s">
        <v>604</v>
      </c>
      <c r="G16">
        <v>12.04</v>
      </c>
    </row>
    <row r="17" spans="1:7" hidden="1">
      <c r="A17" s="128" t="s">
        <v>605</v>
      </c>
      <c r="B17">
        <v>55.8</v>
      </c>
      <c r="F17" t="s">
        <v>605</v>
      </c>
      <c r="G17">
        <v>55.8</v>
      </c>
    </row>
    <row r="18" spans="1:7" hidden="1">
      <c r="A18" s="128" t="s">
        <v>325</v>
      </c>
      <c r="B18">
        <v>1.4</v>
      </c>
      <c r="F18" t="s">
        <v>325</v>
      </c>
      <c r="G18">
        <v>1.4</v>
      </c>
    </row>
    <row r="19" spans="1:7" hidden="1">
      <c r="A19" s="128" t="s">
        <v>606</v>
      </c>
      <c r="B19">
        <v>6.61</v>
      </c>
      <c r="F19" t="s">
        <v>606</v>
      </c>
      <c r="G19">
        <v>6.61</v>
      </c>
    </row>
    <row r="20" spans="1:7" hidden="1">
      <c r="A20" s="128" t="s">
        <v>607</v>
      </c>
      <c r="B20">
        <v>4.88</v>
      </c>
      <c r="F20" t="s">
        <v>607</v>
      </c>
      <c r="G20">
        <v>4.7</v>
      </c>
    </row>
    <row r="21" spans="1:7" hidden="1">
      <c r="A21" s="128" t="s">
        <v>231</v>
      </c>
      <c r="B21">
        <v>2.99</v>
      </c>
      <c r="F21" t="s">
        <v>231</v>
      </c>
      <c r="G21">
        <v>2.99</v>
      </c>
    </row>
    <row r="22" spans="1:7" hidden="1">
      <c r="A22" s="128" t="s">
        <v>486</v>
      </c>
      <c r="B22">
        <v>38.79</v>
      </c>
      <c r="F22" t="s">
        <v>486</v>
      </c>
      <c r="G22">
        <v>39.119999999999997</v>
      </c>
    </row>
    <row r="23" spans="1:7" hidden="1">
      <c r="A23" s="128" t="s">
        <v>608</v>
      </c>
      <c r="B23">
        <v>30.19</v>
      </c>
      <c r="F23" t="s">
        <v>608</v>
      </c>
      <c r="G23">
        <v>30.19</v>
      </c>
    </row>
    <row r="24" spans="1:7" hidden="1">
      <c r="A24" s="128" t="s">
        <v>609</v>
      </c>
      <c r="B24">
        <v>3.9</v>
      </c>
      <c r="F24" t="s">
        <v>609</v>
      </c>
      <c r="G24">
        <v>4.0999999999999996</v>
      </c>
    </row>
    <row r="25" spans="1:7" hidden="1">
      <c r="A25" s="128" t="s">
        <v>266</v>
      </c>
      <c r="B25">
        <v>5.82</v>
      </c>
      <c r="F25" t="s">
        <v>266</v>
      </c>
      <c r="G25">
        <v>5.82</v>
      </c>
    </row>
    <row r="26" spans="1:7" hidden="1">
      <c r="A26" s="128" t="s">
        <v>610</v>
      </c>
      <c r="B26">
        <v>7.8</v>
      </c>
      <c r="F26" t="s">
        <v>610</v>
      </c>
      <c r="G26">
        <v>7.8</v>
      </c>
    </row>
    <row r="27" spans="1:7" hidden="1">
      <c r="A27" s="128" t="s">
        <v>611</v>
      </c>
      <c r="B27">
        <v>31.89</v>
      </c>
      <c r="F27" t="s">
        <v>611</v>
      </c>
      <c r="G27">
        <v>31.89</v>
      </c>
    </row>
    <row r="28" spans="1:7" hidden="1">
      <c r="A28" s="128" t="s">
        <v>192</v>
      </c>
      <c r="B28">
        <v>7.5</v>
      </c>
      <c r="F28" t="s">
        <v>192</v>
      </c>
      <c r="G28">
        <v>7.5</v>
      </c>
    </row>
    <row r="29" spans="1:7" hidden="1">
      <c r="A29" s="128" t="s">
        <v>163</v>
      </c>
      <c r="B29">
        <v>7.02</v>
      </c>
      <c r="F29" t="s">
        <v>163</v>
      </c>
      <c r="G29">
        <v>7.02</v>
      </c>
    </row>
    <row r="30" spans="1:7" hidden="1">
      <c r="A30" s="128" t="s">
        <v>612</v>
      </c>
      <c r="B30">
        <v>59.6</v>
      </c>
      <c r="F30" t="s">
        <v>612</v>
      </c>
      <c r="G30">
        <v>59.6</v>
      </c>
    </row>
    <row r="31" spans="1:7" hidden="1">
      <c r="A31" s="128" t="s">
        <v>613</v>
      </c>
      <c r="B31">
        <v>9.34</v>
      </c>
      <c r="F31" t="s">
        <v>613</v>
      </c>
      <c r="G31">
        <v>11.55</v>
      </c>
    </row>
    <row r="32" spans="1:7" hidden="1">
      <c r="A32" s="128" t="s">
        <v>389</v>
      </c>
      <c r="B32">
        <v>3.73</v>
      </c>
      <c r="F32" t="s">
        <v>389</v>
      </c>
      <c r="G32">
        <v>3.73</v>
      </c>
    </row>
    <row r="33" spans="1:7" hidden="1">
      <c r="A33" s="128" t="s">
        <v>614</v>
      </c>
      <c r="B33">
        <v>0.91</v>
      </c>
      <c r="F33" t="s">
        <v>614</v>
      </c>
      <c r="G33">
        <v>0.91</v>
      </c>
    </row>
    <row r="34" spans="1:7" hidden="1">
      <c r="A34" s="128" t="s">
        <v>615</v>
      </c>
      <c r="B34">
        <v>4.38</v>
      </c>
      <c r="F34" t="s">
        <v>615</v>
      </c>
      <c r="G34">
        <v>4.38</v>
      </c>
    </row>
    <row r="35" spans="1:7" hidden="1">
      <c r="A35" s="128" t="s">
        <v>394</v>
      </c>
      <c r="B35">
        <v>7.6</v>
      </c>
      <c r="F35" t="s">
        <v>394</v>
      </c>
      <c r="G35">
        <v>7.6</v>
      </c>
    </row>
    <row r="36" spans="1:7" hidden="1">
      <c r="A36" s="128" t="s">
        <v>98</v>
      </c>
      <c r="B36">
        <v>13.65</v>
      </c>
      <c r="F36" t="s">
        <v>98</v>
      </c>
      <c r="G36">
        <v>6.3</v>
      </c>
    </row>
    <row r="37" spans="1:7" hidden="1">
      <c r="A37" s="128" t="s">
        <v>616</v>
      </c>
      <c r="B37">
        <v>53.25</v>
      </c>
      <c r="F37" t="s">
        <v>616</v>
      </c>
      <c r="G37">
        <v>53.25</v>
      </c>
    </row>
    <row r="38" spans="1:7" hidden="1">
      <c r="A38" s="128" t="s">
        <v>88</v>
      </c>
      <c r="B38">
        <v>15.36</v>
      </c>
      <c r="F38" t="s">
        <v>88</v>
      </c>
      <c r="G38">
        <v>15.36</v>
      </c>
    </row>
    <row r="39" spans="1:7">
      <c r="A39" s="128" t="s">
        <v>617</v>
      </c>
      <c r="B39">
        <v>69.040000000000006</v>
      </c>
      <c r="F39" t="s">
        <v>617</v>
      </c>
      <c r="G39">
        <v>69.040000000000006</v>
      </c>
    </row>
    <row r="40" spans="1:7">
      <c r="A40" s="128" t="s">
        <v>618</v>
      </c>
      <c r="B40">
        <v>71.5</v>
      </c>
      <c r="F40" t="s">
        <v>618</v>
      </c>
      <c r="G40">
        <v>71.5</v>
      </c>
    </row>
    <row r="41" spans="1:7">
      <c r="A41" s="128" t="s">
        <v>619</v>
      </c>
      <c r="B41">
        <v>71.489999999999995</v>
      </c>
      <c r="F41" t="s">
        <v>619</v>
      </c>
      <c r="G41">
        <v>71.489999999999995</v>
      </c>
    </row>
    <row r="42" spans="1:7" hidden="1">
      <c r="A42" s="128" t="s">
        <v>620</v>
      </c>
      <c r="B42">
        <v>60</v>
      </c>
      <c r="F42" t="s">
        <v>620</v>
      </c>
      <c r="G42">
        <v>60</v>
      </c>
    </row>
    <row r="43" spans="1:7" hidden="1">
      <c r="A43" s="128" t="s">
        <v>621</v>
      </c>
      <c r="B43">
        <v>7.8</v>
      </c>
      <c r="F43" t="s">
        <v>621</v>
      </c>
      <c r="G43">
        <v>7.8</v>
      </c>
    </row>
    <row r="44" spans="1:7" hidden="1">
      <c r="A44" s="128" t="s">
        <v>622</v>
      </c>
      <c r="B44">
        <v>2.67</v>
      </c>
      <c r="F44" t="s">
        <v>622</v>
      </c>
      <c r="G44">
        <v>2.67</v>
      </c>
    </row>
    <row r="45" spans="1:7" hidden="1">
      <c r="A45" s="128" t="s">
        <v>623</v>
      </c>
      <c r="B45">
        <v>5.93</v>
      </c>
      <c r="F45" t="s">
        <v>623</v>
      </c>
      <c r="G45">
        <v>5.93</v>
      </c>
    </row>
    <row r="46" spans="1:7" hidden="1">
      <c r="A46" s="128" t="s">
        <v>339</v>
      </c>
      <c r="B46">
        <v>15.69</v>
      </c>
      <c r="F46" t="s">
        <v>339</v>
      </c>
      <c r="G46">
        <v>15.69</v>
      </c>
    </row>
    <row r="47" spans="1:7" hidden="1">
      <c r="A47" s="128" t="s">
        <v>624</v>
      </c>
      <c r="B47">
        <v>3.64</v>
      </c>
      <c r="F47" t="s">
        <v>624</v>
      </c>
      <c r="G47">
        <v>3.64</v>
      </c>
    </row>
    <row r="48" spans="1:7" hidden="1">
      <c r="A48" s="128" t="s">
        <v>625</v>
      </c>
      <c r="B48">
        <v>21.87</v>
      </c>
      <c r="F48" t="s">
        <v>625</v>
      </c>
      <c r="G48">
        <v>21.87</v>
      </c>
    </row>
    <row r="49" spans="1:7" hidden="1">
      <c r="A49" s="128" t="s">
        <v>355</v>
      </c>
      <c r="B49">
        <v>1.95</v>
      </c>
      <c r="F49" t="s">
        <v>355</v>
      </c>
      <c r="G49">
        <v>1.95</v>
      </c>
    </row>
    <row r="50" spans="1:7" hidden="1">
      <c r="A50" s="128" t="s">
        <v>626</v>
      </c>
      <c r="B50">
        <v>5.95</v>
      </c>
      <c r="F50" t="s">
        <v>626</v>
      </c>
      <c r="G50">
        <v>5.95</v>
      </c>
    </row>
    <row r="51" spans="1:7" hidden="1">
      <c r="A51" s="128" t="s">
        <v>627</v>
      </c>
      <c r="B51">
        <v>56.66</v>
      </c>
      <c r="F51" t="s">
        <v>627</v>
      </c>
      <c r="G51">
        <v>56.66</v>
      </c>
    </row>
    <row r="52" spans="1:7" hidden="1">
      <c r="A52" s="128" t="s">
        <v>31</v>
      </c>
      <c r="B52">
        <v>2.11</v>
      </c>
      <c r="F52" t="s">
        <v>31</v>
      </c>
      <c r="G52">
        <v>2.11</v>
      </c>
    </row>
    <row r="53" spans="1:7" hidden="1">
      <c r="A53" s="128" t="s">
        <v>628</v>
      </c>
      <c r="B53">
        <v>10.44</v>
      </c>
      <c r="F53" t="s">
        <v>628</v>
      </c>
      <c r="G53">
        <v>10.44</v>
      </c>
    </row>
    <row r="54" spans="1:7" hidden="1">
      <c r="A54" s="128" t="s">
        <v>629</v>
      </c>
      <c r="B54">
        <v>7.45</v>
      </c>
      <c r="F54" t="s">
        <v>629</v>
      </c>
      <c r="G54">
        <v>7.46</v>
      </c>
    </row>
    <row r="55" spans="1:7" hidden="1">
      <c r="A55" s="128" t="s">
        <v>630</v>
      </c>
      <c r="B55">
        <v>6.28</v>
      </c>
      <c r="F55" t="s">
        <v>630</v>
      </c>
      <c r="G55">
        <v>6.28</v>
      </c>
    </row>
    <row r="56" spans="1:7" hidden="1">
      <c r="A56" s="128" t="s">
        <v>521</v>
      </c>
      <c r="B56">
        <v>0</v>
      </c>
      <c r="F56" t="s">
        <v>521</v>
      </c>
      <c r="G56">
        <v>27.83</v>
      </c>
    </row>
    <row r="57" spans="1:7" hidden="1">
      <c r="A57" s="128" t="s">
        <v>631</v>
      </c>
      <c r="B57">
        <v>9.44</v>
      </c>
      <c r="F57" t="s">
        <v>631</v>
      </c>
      <c r="G57">
        <v>9.44</v>
      </c>
    </row>
    <row r="58" spans="1:7" hidden="1">
      <c r="A58" s="128" t="s">
        <v>632</v>
      </c>
      <c r="B58">
        <v>7.5</v>
      </c>
      <c r="F58" t="s">
        <v>632</v>
      </c>
      <c r="G58">
        <v>7.5</v>
      </c>
    </row>
    <row r="59" spans="1:7" hidden="1">
      <c r="A59" s="128" t="s">
        <v>541</v>
      </c>
      <c r="B59">
        <v>11.38</v>
      </c>
      <c r="F59" t="s">
        <v>541</v>
      </c>
      <c r="G59">
        <v>11.38</v>
      </c>
    </row>
    <row r="60" spans="1:7" hidden="1">
      <c r="A60" s="128" t="s">
        <v>633</v>
      </c>
      <c r="B60">
        <v>12.04</v>
      </c>
      <c r="F60" t="s">
        <v>633</v>
      </c>
      <c r="G60">
        <v>12.04</v>
      </c>
    </row>
    <row r="61" spans="1:7" hidden="1">
      <c r="A61" s="128" t="s">
        <v>634</v>
      </c>
      <c r="B61">
        <v>10.19</v>
      </c>
      <c r="F61" t="s">
        <v>634</v>
      </c>
      <c r="G61">
        <v>10.19</v>
      </c>
    </row>
    <row r="62" spans="1:7" hidden="1">
      <c r="A62" s="128" t="s">
        <v>282</v>
      </c>
      <c r="B62">
        <v>0</v>
      </c>
      <c r="F62" t="s">
        <v>282</v>
      </c>
      <c r="G62">
        <v>2.67</v>
      </c>
    </row>
    <row r="63" spans="1:7" hidden="1">
      <c r="A63" s="128" t="s">
        <v>635</v>
      </c>
      <c r="B63">
        <v>7.5</v>
      </c>
      <c r="F63" t="s">
        <v>635</v>
      </c>
      <c r="G63">
        <v>7.5</v>
      </c>
    </row>
    <row r="64" spans="1:7" hidden="1">
      <c r="A64" s="128" t="s">
        <v>636</v>
      </c>
      <c r="B64">
        <v>13.89</v>
      </c>
      <c r="F64" t="s">
        <v>636</v>
      </c>
      <c r="G64">
        <v>14.26</v>
      </c>
    </row>
    <row r="65" spans="1:7" hidden="1">
      <c r="A65" s="128" t="s">
        <v>637</v>
      </c>
      <c r="B65">
        <v>15</v>
      </c>
      <c r="F65" t="s">
        <v>637</v>
      </c>
      <c r="G65">
        <v>15</v>
      </c>
    </row>
    <row r="66" spans="1:7" hidden="1">
      <c r="A66" s="128" t="s">
        <v>638</v>
      </c>
      <c r="B66">
        <v>21.03</v>
      </c>
      <c r="F66" t="s">
        <v>639</v>
      </c>
      <c r="G66">
        <v>5.55</v>
      </c>
    </row>
    <row r="67" spans="1:7" hidden="1">
      <c r="A67" s="128" t="s">
        <v>640</v>
      </c>
      <c r="B67">
        <v>28.55</v>
      </c>
      <c r="F67" t="s">
        <v>638</v>
      </c>
      <c r="G67">
        <v>21.03</v>
      </c>
    </row>
    <row r="68" spans="1:7" hidden="1">
      <c r="A68" s="128" t="s">
        <v>641</v>
      </c>
      <c r="B68">
        <v>42.81</v>
      </c>
      <c r="F68" t="s">
        <v>640</v>
      </c>
      <c r="G68">
        <v>28.55</v>
      </c>
    </row>
    <row r="69" spans="1:7" hidden="1">
      <c r="A69" s="128" t="s">
        <v>642</v>
      </c>
      <c r="B69">
        <v>16.43</v>
      </c>
      <c r="F69" t="s">
        <v>641</v>
      </c>
      <c r="G69">
        <v>42.81</v>
      </c>
    </row>
    <row r="70" spans="1:7" hidden="1">
      <c r="A70" s="128" t="s">
        <v>464</v>
      </c>
      <c r="B70">
        <v>47.87</v>
      </c>
      <c r="F70" t="s">
        <v>642</v>
      </c>
      <c r="G70">
        <v>16.43</v>
      </c>
    </row>
    <row r="71" spans="1:7" hidden="1">
      <c r="A71" s="128" t="s">
        <v>643</v>
      </c>
      <c r="B71">
        <v>30.98</v>
      </c>
      <c r="F71" t="s">
        <v>464</v>
      </c>
      <c r="G71">
        <v>47.87</v>
      </c>
    </row>
    <row r="72" spans="1:7" hidden="1">
      <c r="A72" s="128" t="s">
        <v>120</v>
      </c>
      <c r="B72">
        <v>9.7799999999999994</v>
      </c>
      <c r="F72" t="s">
        <v>643</v>
      </c>
      <c r="G72">
        <v>30.98</v>
      </c>
    </row>
    <row r="73" spans="1:7" hidden="1">
      <c r="A73" s="128" t="s">
        <v>644</v>
      </c>
      <c r="B73">
        <v>15</v>
      </c>
      <c r="F73" t="s">
        <v>120</v>
      </c>
      <c r="G73">
        <v>9.7799999999999994</v>
      </c>
    </row>
    <row r="74" spans="1:7" hidden="1">
      <c r="A74" s="128" t="s">
        <v>275</v>
      </c>
      <c r="B74">
        <v>3.95</v>
      </c>
      <c r="F74" t="s">
        <v>644</v>
      </c>
      <c r="G74">
        <v>15</v>
      </c>
    </row>
    <row r="75" spans="1:7" hidden="1">
      <c r="A75" s="128" t="s">
        <v>513</v>
      </c>
      <c r="B75">
        <v>1.56</v>
      </c>
      <c r="F75" t="s">
        <v>275</v>
      </c>
      <c r="G75">
        <v>3.95</v>
      </c>
    </row>
    <row r="76" spans="1:7" hidden="1">
      <c r="A76" s="128" t="s">
        <v>179</v>
      </c>
      <c r="B76">
        <v>6.17</v>
      </c>
      <c r="F76" t="s">
        <v>513</v>
      </c>
      <c r="G76">
        <v>10.1</v>
      </c>
    </row>
    <row r="77" spans="1:7" hidden="1">
      <c r="A77" s="128" t="s">
        <v>51</v>
      </c>
      <c r="B77">
        <v>23.06</v>
      </c>
      <c r="F77" t="s">
        <v>179</v>
      </c>
      <c r="G77">
        <v>6.17</v>
      </c>
    </row>
    <row r="78" spans="1:7" hidden="1">
      <c r="A78" s="128" t="s">
        <v>199</v>
      </c>
      <c r="B78">
        <v>7.06</v>
      </c>
      <c r="F78" t="s">
        <v>51</v>
      </c>
      <c r="G78">
        <v>23.06</v>
      </c>
    </row>
    <row r="79" spans="1:7" hidden="1">
      <c r="A79" s="128" t="s">
        <v>362</v>
      </c>
      <c r="B79">
        <v>9.59</v>
      </c>
      <c r="F79" t="s">
        <v>199</v>
      </c>
      <c r="G79">
        <v>7.06</v>
      </c>
    </row>
    <row r="80" spans="1:7" hidden="1">
      <c r="A80" s="128" t="s">
        <v>205</v>
      </c>
      <c r="B80">
        <v>1.71</v>
      </c>
      <c r="F80" t="s">
        <v>362</v>
      </c>
      <c r="G80">
        <v>11.77</v>
      </c>
    </row>
    <row r="81" spans="1:7" hidden="1">
      <c r="A81" s="128" t="s">
        <v>645</v>
      </c>
      <c r="B81">
        <v>1.93</v>
      </c>
      <c r="F81" t="s">
        <v>205</v>
      </c>
      <c r="G81">
        <v>1.72</v>
      </c>
    </row>
    <row r="82" spans="1:7" hidden="1">
      <c r="A82" s="128" t="s">
        <v>646</v>
      </c>
      <c r="B82">
        <v>0.05</v>
      </c>
      <c r="F82" t="s">
        <v>645</v>
      </c>
      <c r="G82">
        <v>1.93</v>
      </c>
    </row>
    <row r="83" spans="1:7" hidden="1">
      <c r="A83" s="128" t="s">
        <v>647</v>
      </c>
      <c r="B83">
        <v>2.06</v>
      </c>
      <c r="F83" t="s">
        <v>646</v>
      </c>
      <c r="G83">
        <v>0.06</v>
      </c>
    </row>
    <row r="84" spans="1:7" hidden="1">
      <c r="A84" s="128" t="s">
        <v>648</v>
      </c>
      <c r="B84">
        <v>2.4</v>
      </c>
      <c r="F84" t="s">
        <v>647</v>
      </c>
      <c r="G84">
        <v>2.06</v>
      </c>
    </row>
    <row r="85" spans="1:7" hidden="1">
      <c r="A85" s="128" t="s">
        <v>444</v>
      </c>
      <c r="B85">
        <v>26.13</v>
      </c>
      <c r="F85" t="s">
        <v>648</v>
      </c>
      <c r="G85">
        <v>2.4</v>
      </c>
    </row>
    <row r="86" spans="1:7" hidden="1">
      <c r="A86" s="128" t="s">
        <v>649</v>
      </c>
      <c r="B86">
        <v>14.87</v>
      </c>
      <c r="F86" t="s">
        <v>444</v>
      </c>
      <c r="G86">
        <v>26.75</v>
      </c>
    </row>
    <row r="87" spans="1:7" hidden="1">
      <c r="A87" s="128" t="s">
        <v>650</v>
      </c>
      <c r="B87">
        <v>2.1</v>
      </c>
      <c r="F87" t="s">
        <v>649</v>
      </c>
      <c r="G87">
        <v>14.87</v>
      </c>
    </row>
    <row r="88" spans="1:7" hidden="1">
      <c r="A88" s="128" t="s">
        <v>651</v>
      </c>
      <c r="B88">
        <v>11.94</v>
      </c>
      <c r="F88" t="s">
        <v>650</v>
      </c>
      <c r="G88">
        <v>2.1</v>
      </c>
    </row>
    <row r="89" spans="1:7" hidden="1">
      <c r="A89" s="128" t="s">
        <v>652</v>
      </c>
      <c r="B89">
        <v>7.15</v>
      </c>
      <c r="F89" t="s">
        <v>651</v>
      </c>
      <c r="G89">
        <v>11.94</v>
      </c>
    </row>
    <row r="90" spans="1:7" hidden="1">
      <c r="A90" s="128" t="s">
        <v>653</v>
      </c>
      <c r="B90">
        <v>23.91</v>
      </c>
      <c r="F90" t="s">
        <v>652</v>
      </c>
      <c r="G90">
        <v>7.15</v>
      </c>
    </row>
    <row r="91" spans="1:7" hidden="1">
      <c r="A91" s="128" t="s">
        <v>654</v>
      </c>
      <c r="B91">
        <v>5.25</v>
      </c>
      <c r="F91" t="s">
        <v>653</v>
      </c>
      <c r="G91">
        <v>23.87</v>
      </c>
    </row>
    <row r="92" spans="1:7" hidden="1">
      <c r="A92" s="128" t="s">
        <v>655</v>
      </c>
      <c r="B92">
        <v>37.94</v>
      </c>
      <c r="F92" t="s">
        <v>654</v>
      </c>
      <c r="G92">
        <v>5.25</v>
      </c>
    </row>
    <row r="93" spans="1:7" hidden="1">
      <c r="A93" s="128" t="s">
        <v>656</v>
      </c>
      <c r="B93">
        <v>0.49</v>
      </c>
      <c r="F93" t="s">
        <v>655</v>
      </c>
      <c r="G93">
        <v>37.94</v>
      </c>
    </row>
    <row r="94" spans="1:7" hidden="1">
      <c r="A94" s="128" t="s">
        <v>657</v>
      </c>
      <c r="B94">
        <v>2.5099999999999998</v>
      </c>
      <c r="F94" t="s">
        <v>656</v>
      </c>
      <c r="G94">
        <v>0.49</v>
      </c>
    </row>
    <row r="95" spans="1:7" hidden="1">
      <c r="A95" s="128" t="s">
        <v>658</v>
      </c>
      <c r="B95">
        <v>1.45</v>
      </c>
      <c r="F95" t="s">
        <v>657</v>
      </c>
      <c r="G95">
        <v>2.5099999999999998</v>
      </c>
    </row>
    <row r="96" spans="1:7" hidden="1">
      <c r="A96" s="128" t="s">
        <v>659</v>
      </c>
      <c r="B96">
        <v>8.1999999999999993</v>
      </c>
      <c r="F96" t="s">
        <v>658</v>
      </c>
      <c r="G96">
        <v>1.45</v>
      </c>
    </row>
    <row r="97" spans="1:7" hidden="1">
      <c r="A97" s="128" t="s">
        <v>660</v>
      </c>
      <c r="B97">
        <v>13.02</v>
      </c>
      <c r="F97" t="s">
        <v>659</v>
      </c>
      <c r="G97">
        <v>8.1999999999999993</v>
      </c>
    </row>
    <row r="98" spans="1:7" hidden="1">
      <c r="A98" s="128" t="s">
        <v>661</v>
      </c>
      <c r="B98">
        <v>6.12</v>
      </c>
      <c r="F98" t="s">
        <v>660</v>
      </c>
      <c r="G98">
        <v>13.02</v>
      </c>
    </row>
    <row r="99" spans="1:7" hidden="1">
      <c r="A99" s="128" t="s">
        <v>256</v>
      </c>
      <c r="B99">
        <v>0</v>
      </c>
      <c r="F99" t="s">
        <v>661</v>
      </c>
      <c r="G99">
        <v>6.12</v>
      </c>
    </row>
    <row r="100" spans="1:7" hidden="1">
      <c r="A100" s="128" t="s">
        <v>534</v>
      </c>
      <c r="B100">
        <v>15</v>
      </c>
      <c r="F100" t="s">
        <v>256</v>
      </c>
      <c r="G100">
        <v>10.94</v>
      </c>
    </row>
    <row r="101" spans="1:7" hidden="1">
      <c r="A101" s="128" t="s">
        <v>662</v>
      </c>
      <c r="B101">
        <v>0</v>
      </c>
      <c r="F101" t="s">
        <v>534</v>
      </c>
      <c r="G101">
        <v>15</v>
      </c>
    </row>
    <row r="102" spans="1:7" hidden="1">
      <c r="A102" s="128" t="s">
        <v>454</v>
      </c>
      <c r="B102">
        <v>22.74</v>
      </c>
      <c r="F102" t="s">
        <v>662</v>
      </c>
      <c r="G102">
        <v>1.0900000000000001</v>
      </c>
    </row>
    <row r="103" spans="1:7" hidden="1">
      <c r="A103" s="128" t="s">
        <v>152</v>
      </c>
      <c r="B103">
        <v>10.63</v>
      </c>
      <c r="F103" t="s">
        <v>454</v>
      </c>
      <c r="G103">
        <v>22.74</v>
      </c>
    </row>
    <row r="104" spans="1:7" hidden="1">
      <c r="A104" s="128" t="s">
        <v>426</v>
      </c>
      <c r="B104">
        <v>2.13</v>
      </c>
      <c r="F104" t="s">
        <v>152</v>
      </c>
      <c r="G104">
        <v>10.73</v>
      </c>
    </row>
    <row r="105" spans="1:7" hidden="1">
      <c r="A105" s="128" t="s">
        <v>663</v>
      </c>
      <c r="B105">
        <v>13.19</v>
      </c>
      <c r="F105" t="s">
        <v>426</v>
      </c>
      <c r="G105">
        <v>2.13</v>
      </c>
    </row>
    <row r="106" spans="1:7" hidden="1">
      <c r="A106" s="128" t="s">
        <v>664</v>
      </c>
      <c r="B106">
        <v>12.04</v>
      </c>
      <c r="F106" t="s">
        <v>663</v>
      </c>
      <c r="G106">
        <v>13.19</v>
      </c>
    </row>
    <row r="107" spans="1:7" hidden="1">
      <c r="A107" s="128" t="s">
        <v>665</v>
      </c>
      <c r="B107">
        <v>5.04</v>
      </c>
      <c r="F107" t="s">
        <v>664</v>
      </c>
      <c r="G107">
        <v>12.04</v>
      </c>
    </row>
    <row r="108" spans="1:7" hidden="1">
      <c r="A108" s="128" t="s">
        <v>666</v>
      </c>
      <c r="B108">
        <v>60</v>
      </c>
      <c r="F108" t="s">
        <v>665</v>
      </c>
      <c r="G108">
        <v>5.04</v>
      </c>
    </row>
    <row r="109" spans="1:7" hidden="1">
      <c r="A109" s="128" t="s">
        <v>667</v>
      </c>
      <c r="B109">
        <v>15.91</v>
      </c>
      <c r="F109" t="s">
        <v>666</v>
      </c>
      <c r="G109">
        <v>60</v>
      </c>
    </row>
    <row r="110" spans="1:7" hidden="1">
      <c r="A110" s="128" t="s">
        <v>668</v>
      </c>
      <c r="B110">
        <v>9.98</v>
      </c>
      <c r="F110" t="s">
        <v>667</v>
      </c>
      <c r="G110">
        <v>15.91</v>
      </c>
    </row>
    <row r="111" spans="1:7" hidden="1">
      <c r="A111" s="128" t="s">
        <v>669</v>
      </c>
      <c r="B111">
        <v>0</v>
      </c>
      <c r="F111" t="s">
        <v>668</v>
      </c>
      <c r="G111">
        <v>9.98</v>
      </c>
    </row>
    <row r="112" spans="1:7" hidden="1">
      <c r="A112" s="128" t="s">
        <v>670</v>
      </c>
      <c r="B112">
        <v>8.91</v>
      </c>
      <c r="F112" t="s">
        <v>669</v>
      </c>
      <c r="G112">
        <v>3</v>
      </c>
    </row>
    <row r="113" spans="1:7" hidden="1">
      <c r="A113" s="128" t="s">
        <v>671</v>
      </c>
      <c r="B113">
        <v>37.26</v>
      </c>
      <c r="F113" t="s">
        <v>670</v>
      </c>
      <c r="G113">
        <v>8.91</v>
      </c>
    </row>
    <row r="114" spans="1:7" hidden="1">
      <c r="A114" s="128" t="s">
        <v>672</v>
      </c>
      <c r="B114">
        <v>3.04</v>
      </c>
      <c r="F114" t="s">
        <v>671</v>
      </c>
      <c r="G114">
        <v>37.26</v>
      </c>
    </row>
    <row r="115" spans="1:7" hidden="1">
      <c r="A115" s="128" t="s">
        <v>673</v>
      </c>
      <c r="B115">
        <v>12.04</v>
      </c>
      <c r="F115" t="s">
        <v>672</v>
      </c>
      <c r="G115">
        <v>3.04</v>
      </c>
    </row>
    <row r="116" spans="1:7" hidden="1">
      <c r="A116" s="128" t="s">
        <v>674</v>
      </c>
      <c r="B116">
        <v>14.71</v>
      </c>
      <c r="F116" t="s">
        <v>673</v>
      </c>
      <c r="G116">
        <v>12.04</v>
      </c>
    </row>
    <row r="117" spans="1:7" hidden="1">
      <c r="A117" s="128" t="s">
        <v>237</v>
      </c>
      <c r="B117">
        <v>10.210000000000001</v>
      </c>
      <c r="F117" t="s">
        <v>674</v>
      </c>
      <c r="G117">
        <v>15</v>
      </c>
    </row>
    <row r="118" spans="1:7" hidden="1">
      <c r="A118" s="128" t="s">
        <v>371</v>
      </c>
      <c r="B118">
        <v>7.64</v>
      </c>
      <c r="F118" t="s">
        <v>237</v>
      </c>
      <c r="G118">
        <v>10.210000000000001</v>
      </c>
    </row>
    <row r="119" spans="1:7" hidden="1">
      <c r="A119" s="128" t="s">
        <v>675</v>
      </c>
      <c r="B119">
        <v>33.64</v>
      </c>
      <c r="F119" t="s">
        <v>371</v>
      </c>
      <c r="G119">
        <v>7.64</v>
      </c>
    </row>
    <row r="120" spans="1:7" hidden="1">
      <c r="A120" s="128" t="s">
        <v>676</v>
      </c>
      <c r="B120">
        <v>4.66</v>
      </c>
      <c r="F120" t="s">
        <v>675</v>
      </c>
      <c r="G120">
        <v>33.64</v>
      </c>
    </row>
    <row r="121" spans="1:7" hidden="1">
      <c r="A121" s="128" t="s">
        <v>400</v>
      </c>
      <c r="B121">
        <v>1.36</v>
      </c>
      <c r="F121" t="s">
        <v>676</v>
      </c>
      <c r="G121">
        <v>4.66</v>
      </c>
    </row>
    <row r="122" spans="1:7" hidden="1">
      <c r="A122" s="128" t="s">
        <v>677</v>
      </c>
      <c r="B122">
        <v>0</v>
      </c>
      <c r="F122" t="s">
        <v>400</v>
      </c>
      <c r="G122">
        <v>1.36</v>
      </c>
    </row>
    <row r="123" spans="1:7" hidden="1">
      <c r="A123" s="128" t="s">
        <v>556</v>
      </c>
      <c r="B123">
        <v>1.96</v>
      </c>
      <c r="F123" t="s">
        <v>677</v>
      </c>
      <c r="G123">
        <v>11.63</v>
      </c>
    </row>
    <row r="124" spans="1:7" hidden="1">
      <c r="A124" s="128" t="s">
        <v>678</v>
      </c>
      <c r="B124">
        <v>0</v>
      </c>
      <c r="F124" t="s">
        <v>556</v>
      </c>
      <c r="G124">
        <v>1.96</v>
      </c>
    </row>
    <row r="125" spans="1:7" hidden="1">
      <c r="A125" s="128" t="s">
        <v>679</v>
      </c>
      <c r="B125">
        <v>5.66</v>
      </c>
      <c r="F125" t="s">
        <v>678</v>
      </c>
      <c r="G125">
        <v>2.8</v>
      </c>
    </row>
    <row r="126" spans="1:7" hidden="1">
      <c r="A126" s="128" t="s">
        <v>680</v>
      </c>
      <c r="B126">
        <v>37.26</v>
      </c>
      <c r="F126" t="s">
        <v>679</v>
      </c>
      <c r="G126">
        <v>5.66</v>
      </c>
    </row>
    <row r="127" spans="1:7" hidden="1">
      <c r="A127" s="128" t="s">
        <v>681</v>
      </c>
      <c r="B127">
        <v>9.3699999999999992</v>
      </c>
      <c r="F127" t="s">
        <v>680</v>
      </c>
      <c r="G127">
        <v>37.26</v>
      </c>
    </row>
    <row r="128" spans="1:7" hidden="1">
      <c r="A128" s="128" t="s">
        <v>682</v>
      </c>
      <c r="B128">
        <v>19.43</v>
      </c>
      <c r="F128" t="s">
        <v>681</v>
      </c>
      <c r="G128">
        <v>9.3699999999999992</v>
      </c>
    </row>
    <row r="129" spans="1:7" hidden="1">
      <c r="A129" s="128" t="s">
        <v>244</v>
      </c>
      <c r="B129">
        <v>0.64</v>
      </c>
      <c r="F129" t="s">
        <v>682</v>
      </c>
      <c r="G129">
        <v>19.43</v>
      </c>
    </row>
    <row r="130" spans="1:7" hidden="1">
      <c r="A130" s="128" t="s">
        <v>683</v>
      </c>
      <c r="B130">
        <v>3.84</v>
      </c>
      <c r="F130" t="s">
        <v>244</v>
      </c>
      <c r="G130">
        <v>0.64</v>
      </c>
    </row>
    <row r="131" spans="1:7" hidden="1">
      <c r="A131" s="128" t="s">
        <v>223</v>
      </c>
      <c r="B131">
        <v>4.7</v>
      </c>
      <c r="F131" t="s">
        <v>683</v>
      </c>
      <c r="G131">
        <v>3.84</v>
      </c>
    </row>
    <row r="132" spans="1:7" hidden="1">
      <c r="A132" s="128" t="s">
        <v>684</v>
      </c>
      <c r="B132">
        <v>7.47</v>
      </c>
      <c r="F132" t="s">
        <v>223</v>
      </c>
      <c r="G132">
        <v>4.7</v>
      </c>
    </row>
    <row r="133" spans="1:7" hidden="1">
      <c r="A133" s="128" t="s">
        <v>548</v>
      </c>
      <c r="B133">
        <v>6.57</v>
      </c>
      <c r="F133" t="s">
        <v>684</v>
      </c>
      <c r="G133">
        <v>7.47</v>
      </c>
    </row>
    <row r="134" spans="1:7" hidden="1">
      <c r="A134" s="128" t="s">
        <v>288</v>
      </c>
      <c r="B134">
        <v>11.69</v>
      </c>
      <c r="F134" t="s">
        <v>548</v>
      </c>
      <c r="G134">
        <v>6.57</v>
      </c>
    </row>
    <row r="135" spans="1:7" hidden="1">
      <c r="A135" s="128" t="s">
        <v>685</v>
      </c>
      <c r="B135">
        <v>15</v>
      </c>
      <c r="F135" t="s">
        <v>288</v>
      </c>
      <c r="G135">
        <v>11.69</v>
      </c>
    </row>
    <row r="136" spans="1:7" hidden="1">
      <c r="A136" s="128" t="s">
        <v>76</v>
      </c>
      <c r="B136">
        <v>4.1500000000000004</v>
      </c>
      <c r="F136" t="s">
        <v>685</v>
      </c>
      <c r="G136">
        <v>15</v>
      </c>
    </row>
    <row r="137" spans="1:7" hidden="1">
      <c r="A137" s="128" t="s">
        <v>686</v>
      </c>
      <c r="B137">
        <v>7.5</v>
      </c>
      <c r="F137" t="s">
        <v>76</v>
      </c>
      <c r="G137">
        <v>11.91</v>
      </c>
    </row>
    <row r="138" spans="1:7" hidden="1">
      <c r="A138" s="128" t="s">
        <v>687</v>
      </c>
      <c r="B138">
        <v>0.32</v>
      </c>
      <c r="F138" t="s">
        <v>686</v>
      </c>
      <c r="G138">
        <v>7.5</v>
      </c>
    </row>
    <row r="139" spans="1:7" hidden="1">
      <c r="A139" s="128" t="s">
        <v>331</v>
      </c>
      <c r="B139">
        <v>0.68</v>
      </c>
      <c r="F139" t="s">
        <v>687</v>
      </c>
      <c r="G139">
        <v>0.34</v>
      </c>
    </row>
    <row r="140" spans="1:7" hidden="1">
      <c r="A140" s="128" t="s">
        <v>688</v>
      </c>
      <c r="B140">
        <v>14.79</v>
      </c>
      <c r="F140" t="s">
        <v>331</v>
      </c>
      <c r="G140">
        <v>0.68</v>
      </c>
    </row>
    <row r="141" spans="1:7" hidden="1">
      <c r="A141" s="128" t="s">
        <v>435</v>
      </c>
      <c r="B141">
        <v>59.34</v>
      </c>
      <c r="F141" t="s">
        <v>688</v>
      </c>
      <c r="G141">
        <v>14.79</v>
      </c>
    </row>
    <row r="142" spans="1:7" hidden="1">
      <c r="A142" s="128" t="s">
        <v>689</v>
      </c>
      <c r="B142">
        <v>8.26</v>
      </c>
      <c r="F142" t="s">
        <v>435</v>
      </c>
      <c r="G142">
        <v>59.34</v>
      </c>
    </row>
    <row r="143" spans="1:7" hidden="1">
      <c r="A143" s="128" t="s">
        <v>690</v>
      </c>
      <c r="B143">
        <v>0</v>
      </c>
      <c r="F143" t="s">
        <v>689</v>
      </c>
      <c r="G143">
        <v>8.26</v>
      </c>
    </row>
    <row r="144" spans="1:7" hidden="1">
      <c r="A144" s="128" t="s">
        <v>691</v>
      </c>
      <c r="B144">
        <v>71.83</v>
      </c>
      <c r="F144" t="s">
        <v>690</v>
      </c>
      <c r="G144">
        <v>30.73</v>
      </c>
    </row>
    <row r="145" spans="1:7">
      <c r="A145" s="128" t="s">
        <v>692</v>
      </c>
      <c r="B145">
        <v>0.77</v>
      </c>
      <c r="F145" t="s">
        <v>691</v>
      </c>
      <c r="G145">
        <v>71.83</v>
      </c>
    </row>
    <row r="146" spans="1:7" hidden="1">
      <c r="A146" s="128" t="s">
        <v>350</v>
      </c>
      <c r="B146">
        <v>7.5</v>
      </c>
      <c r="F146" t="s">
        <v>692</v>
      </c>
      <c r="G146">
        <v>0.77</v>
      </c>
    </row>
    <row r="147" spans="1:7" hidden="1">
      <c r="A147" s="128" t="s">
        <v>693</v>
      </c>
      <c r="B147">
        <v>15.16</v>
      </c>
      <c r="F147" t="s">
        <v>350</v>
      </c>
      <c r="G147">
        <v>7.5</v>
      </c>
    </row>
    <row r="148" spans="1:7" hidden="1">
      <c r="A148" s="128" t="s">
        <v>694</v>
      </c>
      <c r="B148">
        <v>15</v>
      </c>
      <c r="F148" t="s">
        <v>693</v>
      </c>
      <c r="G148">
        <v>15.16</v>
      </c>
    </row>
    <row r="149" spans="1:7" hidden="1">
      <c r="A149" s="128" t="s">
        <v>695</v>
      </c>
      <c r="B149">
        <v>0.82</v>
      </c>
      <c r="F149" t="s">
        <v>694</v>
      </c>
      <c r="G149">
        <v>15</v>
      </c>
    </row>
    <row r="150" spans="1:7" hidden="1">
      <c r="A150" s="128" t="s">
        <v>696</v>
      </c>
      <c r="B150">
        <v>25.06</v>
      </c>
      <c r="F150" t="s">
        <v>695</v>
      </c>
      <c r="G150">
        <v>0.87</v>
      </c>
    </row>
    <row r="151" spans="1:7" hidden="1">
      <c r="A151" s="128" t="s">
        <v>697</v>
      </c>
      <c r="B151">
        <v>1.56</v>
      </c>
      <c r="F151" t="s">
        <v>696</v>
      </c>
      <c r="G151">
        <v>25.06</v>
      </c>
    </row>
    <row r="152" spans="1:7" hidden="1">
      <c r="A152" s="128" t="s">
        <v>698</v>
      </c>
      <c r="B152">
        <v>7.65</v>
      </c>
      <c r="F152" t="s">
        <v>697</v>
      </c>
      <c r="G152">
        <v>1.56</v>
      </c>
    </row>
    <row r="153" spans="1:7" hidden="1">
      <c r="A153" s="128" t="s">
        <v>699</v>
      </c>
      <c r="B153">
        <v>11.5</v>
      </c>
      <c r="F153" t="s">
        <v>698</v>
      </c>
      <c r="G153">
        <v>7.65</v>
      </c>
    </row>
    <row r="154" spans="1:7" hidden="1">
      <c r="A154" s="128" t="s">
        <v>700</v>
      </c>
      <c r="B154">
        <v>15</v>
      </c>
      <c r="F154" t="s">
        <v>699</v>
      </c>
      <c r="G154">
        <v>11.5</v>
      </c>
    </row>
    <row r="155" spans="1:7" hidden="1">
      <c r="A155" s="128" t="s">
        <v>701</v>
      </c>
      <c r="B155">
        <v>4.6100000000000003</v>
      </c>
      <c r="F155" t="s">
        <v>700</v>
      </c>
      <c r="G155">
        <v>15</v>
      </c>
    </row>
    <row r="156" spans="1:7" hidden="1">
      <c r="A156" s="128" t="s">
        <v>702</v>
      </c>
      <c r="B156">
        <v>88.77</v>
      </c>
      <c r="F156" t="s">
        <v>701</v>
      </c>
      <c r="G156">
        <v>4.6100000000000003</v>
      </c>
    </row>
    <row r="157" spans="1:7">
      <c r="A157" s="128" t="s">
        <v>703</v>
      </c>
      <c r="B157">
        <v>1.93</v>
      </c>
      <c r="F157" t="s">
        <v>702</v>
      </c>
      <c r="G157">
        <v>88.77</v>
      </c>
    </row>
    <row r="158" spans="1:7" hidden="1">
      <c r="A158" s="128" t="s">
        <v>704</v>
      </c>
      <c r="B158">
        <v>55</v>
      </c>
      <c r="F158" t="s">
        <v>703</v>
      </c>
      <c r="G158">
        <v>1.93</v>
      </c>
    </row>
    <row r="159" spans="1:7" hidden="1">
      <c r="A159" s="128" t="s">
        <v>705</v>
      </c>
      <c r="B159">
        <v>1.48</v>
      </c>
      <c r="F159" t="s">
        <v>704</v>
      </c>
      <c r="G159">
        <v>55</v>
      </c>
    </row>
    <row r="160" spans="1:7" hidden="1">
      <c r="A160" s="128" t="s">
        <v>581</v>
      </c>
      <c r="B160">
        <v>5.63</v>
      </c>
      <c r="F160" t="s">
        <v>705</v>
      </c>
      <c r="G160">
        <v>1.48</v>
      </c>
    </row>
    <row r="161" spans="1:7" hidden="1">
      <c r="A161" s="128" t="s">
        <v>706</v>
      </c>
      <c r="B161">
        <v>5.51</v>
      </c>
      <c r="F161" t="s">
        <v>581</v>
      </c>
      <c r="G161">
        <v>5.63</v>
      </c>
    </row>
    <row r="162" spans="1:7" hidden="1">
      <c r="A162" s="128" t="s">
        <v>418</v>
      </c>
      <c r="B162">
        <v>7.33</v>
      </c>
      <c r="F162" t="s">
        <v>706</v>
      </c>
      <c r="G162">
        <v>5.85</v>
      </c>
    </row>
    <row r="163" spans="1:7" hidden="1">
      <c r="A163" s="128" t="s">
        <v>707</v>
      </c>
      <c r="B163">
        <v>1.95</v>
      </c>
      <c r="F163" t="s">
        <v>418</v>
      </c>
      <c r="G163">
        <v>7.33</v>
      </c>
    </row>
    <row r="164" spans="1:7" hidden="1">
      <c r="A164" s="128" t="s">
        <v>494</v>
      </c>
      <c r="B164">
        <v>5.75</v>
      </c>
      <c r="F164" t="s">
        <v>707</v>
      </c>
      <c r="G164">
        <v>2</v>
      </c>
    </row>
    <row r="165" spans="1:7" hidden="1">
      <c r="A165" s="128" t="s">
        <v>708</v>
      </c>
      <c r="B165">
        <v>0.48</v>
      </c>
      <c r="F165" t="s">
        <v>494</v>
      </c>
      <c r="G165">
        <v>5.75</v>
      </c>
    </row>
    <row r="166" spans="1:7" hidden="1">
      <c r="A166" s="128" t="s">
        <v>709</v>
      </c>
      <c r="B166">
        <v>43.98</v>
      </c>
      <c r="F166" t="s">
        <v>708</v>
      </c>
      <c r="G166">
        <v>0.5</v>
      </c>
    </row>
    <row r="167" spans="1:7" hidden="1">
      <c r="A167" s="128" t="s">
        <v>710</v>
      </c>
      <c r="B167">
        <v>2.13</v>
      </c>
      <c r="F167" t="s">
        <v>709</v>
      </c>
      <c r="G167">
        <v>44.22</v>
      </c>
    </row>
    <row r="168" spans="1:7" hidden="1">
      <c r="A168" s="128" t="s">
        <v>711</v>
      </c>
      <c r="B168">
        <v>16.2</v>
      </c>
      <c r="F168" t="s">
        <v>710</v>
      </c>
      <c r="G168">
        <v>2.13</v>
      </c>
    </row>
    <row r="169" spans="1:7" hidden="1">
      <c r="A169" s="128" t="s">
        <v>712</v>
      </c>
      <c r="B169">
        <v>38.9</v>
      </c>
      <c r="F169" t="s">
        <v>711</v>
      </c>
      <c r="G169">
        <v>16.2</v>
      </c>
    </row>
    <row r="170" spans="1:7" hidden="1">
      <c r="A170" s="128" t="s">
        <v>713</v>
      </c>
      <c r="B170">
        <v>14.5</v>
      </c>
      <c r="F170" t="s">
        <v>712</v>
      </c>
      <c r="G170">
        <v>38.9</v>
      </c>
    </row>
    <row r="171" spans="1:7" hidden="1">
      <c r="A171" s="128" t="s">
        <v>714</v>
      </c>
      <c r="B171">
        <v>12.7</v>
      </c>
      <c r="F171" t="s">
        <v>713</v>
      </c>
      <c r="G171">
        <v>14.5</v>
      </c>
    </row>
    <row r="172" spans="1:7" hidden="1">
      <c r="A172" s="128" t="s">
        <v>715</v>
      </c>
      <c r="B172">
        <v>0.38</v>
      </c>
      <c r="F172" t="s">
        <v>714</v>
      </c>
      <c r="G172">
        <v>12.7</v>
      </c>
    </row>
    <row r="173" spans="1:7" hidden="1">
      <c r="A173" s="128" t="s">
        <v>716</v>
      </c>
      <c r="B173">
        <v>0.21</v>
      </c>
      <c r="F173" t="s">
        <v>715</v>
      </c>
      <c r="G173">
        <v>0.48</v>
      </c>
    </row>
    <row r="174" spans="1:7" hidden="1">
      <c r="A174" s="128" t="s">
        <v>127</v>
      </c>
      <c r="B174">
        <v>37.32</v>
      </c>
      <c r="F174" t="s">
        <v>716</v>
      </c>
      <c r="G174">
        <v>0.21</v>
      </c>
    </row>
    <row r="175" spans="1:7" hidden="1">
      <c r="A175" s="128" t="s">
        <v>185</v>
      </c>
      <c r="B175">
        <v>5.09</v>
      </c>
      <c r="F175" t="s">
        <v>127</v>
      </c>
      <c r="G175">
        <v>37.32</v>
      </c>
    </row>
    <row r="176" spans="1:7" hidden="1">
      <c r="A176" s="128" t="s">
        <v>717</v>
      </c>
      <c r="B176">
        <v>7.45</v>
      </c>
      <c r="F176" t="s">
        <v>185</v>
      </c>
      <c r="G176">
        <v>5.09</v>
      </c>
    </row>
    <row r="177" spans="1:7" hidden="1">
      <c r="A177" s="128" t="s">
        <v>718</v>
      </c>
      <c r="B177">
        <v>9.65</v>
      </c>
      <c r="F177" t="s">
        <v>717</v>
      </c>
      <c r="G177">
        <v>7.5</v>
      </c>
    </row>
    <row r="178" spans="1:7" hidden="1">
      <c r="A178" s="128" t="s">
        <v>565</v>
      </c>
      <c r="B178">
        <v>13.89</v>
      </c>
      <c r="F178" t="s">
        <v>718</v>
      </c>
      <c r="G178">
        <v>9.65</v>
      </c>
    </row>
    <row r="179" spans="1:7" hidden="1">
      <c r="A179" s="128" t="s">
        <v>719</v>
      </c>
      <c r="B179">
        <v>0.5</v>
      </c>
      <c r="F179" t="s">
        <v>565</v>
      </c>
      <c r="G179">
        <v>13.89</v>
      </c>
    </row>
    <row r="180" spans="1:7" hidden="1">
      <c r="A180" s="128" t="s">
        <v>720</v>
      </c>
      <c r="B180">
        <v>3</v>
      </c>
      <c r="F180" t="s">
        <v>719</v>
      </c>
      <c r="G180">
        <v>0.51</v>
      </c>
    </row>
    <row r="181" spans="1:7" hidden="1">
      <c r="A181" s="128" t="s">
        <v>529</v>
      </c>
      <c r="B181">
        <v>39.67</v>
      </c>
      <c r="F181" t="s">
        <v>720</v>
      </c>
      <c r="G181">
        <v>3</v>
      </c>
    </row>
    <row r="182" spans="1:7" hidden="1">
      <c r="A182" s="128" t="s">
        <v>721</v>
      </c>
      <c r="B182">
        <v>3.34</v>
      </c>
      <c r="F182" t="s">
        <v>529</v>
      </c>
      <c r="G182">
        <v>39.67</v>
      </c>
    </row>
    <row r="183" spans="1:7" hidden="1">
      <c r="A183" s="128" t="s">
        <v>251</v>
      </c>
      <c r="B183">
        <v>5.85</v>
      </c>
      <c r="F183" t="s">
        <v>721</v>
      </c>
      <c r="G183">
        <v>3.34</v>
      </c>
    </row>
    <row r="184" spans="1:7" hidden="1">
      <c r="A184" s="128" t="s">
        <v>171</v>
      </c>
      <c r="B184">
        <v>1.1399999999999999</v>
      </c>
      <c r="F184" t="s">
        <v>251</v>
      </c>
      <c r="G184">
        <v>5.85</v>
      </c>
    </row>
    <row r="185" spans="1:7" hidden="1">
      <c r="A185" s="128" t="s">
        <v>722</v>
      </c>
      <c r="B185">
        <v>4.3499999999999996</v>
      </c>
      <c r="F185" t="s">
        <v>171</v>
      </c>
      <c r="G185">
        <v>1.1399999999999999</v>
      </c>
    </row>
    <row r="186" spans="1:7" hidden="1">
      <c r="A186" s="128" t="s">
        <v>592</v>
      </c>
      <c r="B186">
        <v>6.32</v>
      </c>
      <c r="F186" t="s">
        <v>722</v>
      </c>
      <c r="G186">
        <v>4.4000000000000004</v>
      </c>
    </row>
    <row r="187" spans="1:7" hidden="1">
      <c r="A187" s="128" t="s">
        <v>723</v>
      </c>
      <c r="B187">
        <v>14.61</v>
      </c>
      <c r="F187" t="s">
        <v>592</v>
      </c>
      <c r="G187">
        <v>6.32</v>
      </c>
    </row>
    <row r="188" spans="1:7" hidden="1">
      <c r="A188" s="128" t="s">
        <v>144</v>
      </c>
      <c r="B188">
        <v>0</v>
      </c>
      <c r="F188" t="s">
        <v>723</v>
      </c>
      <c r="G188">
        <v>14.61</v>
      </c>
    </row>
    <row r="189" spans="1:7" hidden="1">
      <c r="A189" s="128" t="s">
        <v>724</v>
      </c>
      <c r="B189">
        <v>56.38</v>
      </c>
      <c r="F189" t="s">
        <v>144</v>
      </c>
      <c r="G189">
        <v>2.99</v>
      </c>
    </row>
    <row r="190" spans="1:7" hidden="1">
      <c r="A190" s="128" t="s">
        <v>725</v>
      </c>
      <c r="B190">
        <v>0.48</v>
      </c>
      <c r="F190" t="s">
        <v>724</v>
      </c>
      <c r="G190">
        <v>56.38</v>
      </c>
    </row>
    <row r="191" spans="1:7" hidden="1">
      <c r="A191" s="128" t="s">
        <v>301</v>
      </c>
      <c r="B191">
        <v>3.84</v>
      </c>
      <c r="F191" t="s">
        <v>725</v>
      </c>
      <c r="G191">
        <v>0.49</v>
      </c>
    </row>
    <row r="192" spans="1:7" hidden="1">
      <c r="A192" s="128" t="s">
        <v>726</v>
      </c>
      <c r="B192">
        <v>0.99</v>
      </c>
      <c r="F192" t="s">
        <v>301</v>
      </c>
      <c r="G192">
        <v>3.84</v>
      </c>
    </row>
    <row r="193" spans="1:7" hidden="1">
      <c r="A193" s="128" t="s">
        <v>727</v>
      </c>
      <c r="B193">
        <v>0.68</v>
      </c>
      <c r="F193" t="s">
        <v>726</v>
      </c>
      <c r="G193">
        <v>0.99</v>
      </c>
    </row>
    <row r="194" spans="1:7" hidden="1">
      <c r="A194" s="128" t="s">
        <v>728</v>
      </c>
      <c r="B194">
        <v>14.67</v>
      </c>
      <c r="F194" t="s">
        <v>727</v>
      </c>
      <c r="G194">
        <v>0.68</v>
      </c>
    </row>
    <row r="195" spans="1:7" hidden="1">
      <c r="A195" s="128" t="s">
        <v>113</v>
      </c>
      <c r="B195">
        <v>1.47</v>
      </c>
      <c r="F195" t="s">
        <v>728</v>
      </c>
      <c r="G195">
        <v>14.91</v>
      </c>
    </row>
    <row r="196" spans="1:7" hidden="1">
      <c r="A196" s="128" t="s">
        <v>67</v>
      </c>
      <c r="B196">
        <v>7.6</v>
      </c>
      <c r="F196" t="s">
        <v>113</v>
      </c>
      <c r="G196">
        <v>1.47</v>
      </c>
    </row>
    <row r="197" spans="1:7" hidden="1">
      <c r="A197" s="128" t="s">
        <v>407</v>
      </c>
      <c r="B197">
        <v>12.42</v>
      </c>
      <c r="F197" t="s">
        <v>67</v>
      </c>
      <c r="G197">
        <v>7.6</v>
      </c>
    </row>
    <row r="198" spans="1:7" hidden="1">
      <c r="A198" s="128" t="s">
        <v>729</v>
      </c>
      <c r="B198">
        <v>3.8</v>
      </c>
      <c r="F198" t="s">
        <v>407</v>
      </c>
      <c r="G198">
        <v>12.18</v>
      </c>
    </row>
    <row r="199" spans="1:7" hidden="1">
      <c r="A199" s="128" t="s">
        <v>730</v>
      </c>
      <c r="B199">
        <v>7.47</v>
      </c>
      <c r="F199" t="s">
        <v>729</v>
      </c>
      <c r="G199">
        <v>3.8</v>
      </c>
    </row>
    <row r="200" spans="1:7" hidden="1">
      <c r="A200" s="128" t="s">
        <v>731</v>
      </c>
      <c r="B200">
        <v>11.25</v>
      </c>
      <c r="F200" t="s">
        <v>730</v>
      </c>
      <c r="G200">
        <v>7.47</v>
      </c>
    </row>
    <row r="201" spans="1:7" hidden="1">
      <c r="A201" s="128" t="s">
        <v>732</v>
      </c>
      <c r="B201">
        <v>15</v>
      </c>
      <c r="F201" t="s">
        <v>731</v>
      </c>
      <c r="G201">
        <v>11.25</v>
      </c>
    </row>
    <row r="202" spans="1:7" hidden="1">
      <c r="A202" s="128" t="s">
        <v>733</v>
      </c>
      <c r="B202">
        <v>2.58</v>
      </c>
      <c r="F202" t="s">
        <v>732</v>
      </c>
      <c r="G202">
        <v>15</v>
      </c>
    </row>
    <row r="203" spans="1:7" hidden="1">
      <c r="A203" s="128" t="s">
        <v>573</v>
      </c>
      <c r="B203">
        <v>2.5</v>
      </c>
      <c r="F203" t="s">
        <v>733</v>
      </c>
      <c r="G203">
        <v>2.58</v>
      </c>
    </row>
    <row r="204" spans="1:7" hidden="1">
      <c r="A204" s="128" t="s">
        <v>734</v>
      </c>
      <c r="B204">
        <v>44.36</v>
      </c>
      <c r="F204" t="s">
        <v>573</v>
      </c>
      <c r="G204">
        <v>2.5</v>
      </c>
    </row>
    <row r="205" spans="1:7" hidden="1">
      <c r="A205" s="128" t="s">
        <v>735</v>
      </c>
      <c r="B205">
        <v>10.23</v>
      </c>
      <c r="F205" t="s">
        <v>734</v>
      </c>
      <c r="G205">
        <v>48.66</v>
      </c>
    </row>
    <row r="206" spans="1:7" hidden="1">
      <c r="A206" s="128" t="s">
        <v>736</v>
      </c>
      <c r="B206">
        <v>0</v>
      </c>
      <c r="F206" t="s">
        <v>735</v>
      </c>
      <c r="G206">
        <v>10.23</v>
      </c>
    </row>
    <row r="207" spans="1:7" hidden="1">
      <c r="A207" s="128" t="s">
        <v>737</v>
      </c>
      <c r="B207">
        <v>18.149999999999999</v>
      </c>
      <c r="F207" t="s">
        <v>736</v>
      </c>
      <c r="G207">
        <v>2.1800000000000002</v>
      </c>
    </row>
    <row r="208" spans="1:7" hidden="1">
      <c r="A208" s="128" t="s">
        <v>738</v>
      </c>
      <c r="B208">
        <v>8.3699999999999992</v>
      </c>
      <c r="F208" t="s">
        <v>737</v>
      </c>
      <c r="G208">
        <v>18.16</v>
      </c>
    </row>
    <row r="209" spans="1:7" hidden="1">
      <c r="A209" s="128" t="s">
        <v>739</v>
      </c>
      <c r="B209">
        <v>10.69</v>
      </c>
      <c r="F209" t="s">
        <v>738</v>
      </c>
      <c r="G209">
        <v>8.4499999999999993</v>
      </c>
    </row>
    <row r="210" spans="1:7" hidden="1">
      <c r="A210" s="128" t="s">
        <v>378</v>
      </c>
      <c r="B210">
        <v>5.55</v>
      </c>
      <c r="F210" t="s">
        <v>739</v>
      </c>
      <c r="G210">
        <v>10.69</v>
      </c>
    </row>
    <row r="211" spans="1:7">
      <c r="A211" s="128" t="s">
        <v>593</v>
      </c>
      <c r="B211">
        <v>2820.9</v>
      </c>
      <c r="F211" t="s">
        <v>593</v>
      </c>
      <c r="G211">
        <v>2977.14</v>
      </c>
    </row>
  </sheetData>
  <autoFilter ref="F3:G211" xr:uid="{00000000-0009-0000-0000-00003F000000}">
    <filterColumn colId="1">
      <customFilters>
        <customFilter operator="greaterThan" val="60"/>
      </customFilters>
    </filterColumn>
  </autoFilter>
  <phoneticPr fontId="31"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C198"/>
  <sheetViews>
    <sheetView tabSelected="1" view="pageBreakPreview" zoomScaleNormal="100" workbookViewId="0">
      <selection activeCell="H14" sqref="H14"/>
    </sheetView>
  </sheetViews>
  <sheetFormatPr defaultColWidth="9" defaultRowHeight="14"/>
  <cols>
    <col min="1" max="1" width="9.25" style="177" customWidth="1"/>
    <col min="2" max="2" width="17.58203125" style="177" customWidth="1"/>
    <col min="3" max="3" width="49.08203125" style="177" customWidth="1"/>
    <col min="4" max="16384" width="9" style="175"/>
  </cols>
  <sheetData>
    <row r="1" spans="1:3" ht="54" customHeight="1">
      <c r="A1" s="178" t="s">
        <v>740</v>
      </c>
      <c r="B1" s="178"/>
      <c r="C1" s="178"/>
    </row>
    <row r="2" spans="1:3" s="176" customFormat="1" ht="19.5" customHeight="1">
      <c r="A2" s="182" t="s">
        <v>1745</v>
      </c>
      <c r="B2" s="182" t="s">
        <v>1746</v>
      </c>
      <c r="C2" s="182" t="s">
        <v>1747</v>
      </c>
    </row>
    <row r="3" spans="1:3" ht="15.5">
      <c r="A3" s="179">
        <v>1</v>
      </c>
      <c r="B3" s="180" t="s">
        <v>289</v>
      </c>
      <c r="C3" s="181" t="s">
        <v>31</v>
      </c>
    </row>
    <row r="4" spans="1:3" ht="15.5">
      <c r="A4" s="179">
        <v>2</v>
      </c>
      <c r="B4" s="180" t="s">
        <v>289</v>
      </c>
      <c r="C4" s="181" t="s">
        <v>51</v>
      </c>
    </row>
    <row r="5" spans="1:3" ht="15.5">
      <c r="A5" s="179">
        <v>3</v>
      </c>
      <c r="B5" s="180" t="s">
        <v>289</v>
      </c>
      <c r="C5" s="181" t="s">
        <v>67</v>
      </c>
    </row>
    <row r="6" spans="1:3" ht="15.5">
      <c r="A6" s="179">
        <v>4</v>
      </c>
      <c r="B6" s="180" t="s">
        <v>289</v>
      </c>
      <c r="C6" s="181" t="s">
        <v>76</v>
      </c>
    </row>
    <row r="7" spans="1:3" ht="15.5">
      <c r="A7" s="179">
        <v>5</v>
      </c>
      <c r="B7" s="180" t="s">
        <v>289</v>
      </c>
      <c r="C7" s="181" t="s">
        <v>88</v>
      </c>
    </row>
    <row r="8" spans="1:3" ht="15.5">
      <c r="A8" s="179">
        <v>6</v>
      </c>
      <c r="B8" s="180" t="s">
        <v>289</v>
      </c>
      <c r="C8" s="181" t="s">
        <v>98</v>
      </c>
    </row>
    <row r="9" spans="1:3" ht="15.5">
      <c r="A9" s="179">
        <v>7</v>
      </c>
      <c r="B9" s="180" t="s">
        <v>289</v>
      </c>
      <c r="C9" s="181" t="s">
        <v>113</v>
      </c>
    </row>
    <row r="10" spans="1:3" ht="15.5">
      <c r="A10" s="179">
        <v>8</v>
      </c>
      <c r="B10" s="180" t="s">
        <v>289</v>
      </c>
      <c r="C10" s="181" t="s">
        <v>120</v>
      </c>
    </row>
    <row r="11" spans="1:3" ht="15.5">
      <c r="A11" s="179">
        <v>9</v>
      </c>
      <c r="B11" s="180" t="s">
        <v>289</v>
      </c>
      <c r="C11" s="181" t="s">
        <v>127</v>
      </c>
    </row>
    <row r="12" spans="1:3" ht="15.5">
      <c r="A12" s="179">
        <v>10</v>
      </c>
      <c r="B12" s="180" t="s">
        <v>289</v>
      </c>
      <c r="C12" s="181" t="s">
        <v>152</v>
      </c>
    </row>
    <row r="13" spans="1:3" ht="15.5">
      <c r="A13" s="179">
        <v>11</v>
      </c>
      <c r="B13" s="180" t="s">
        <v>289</v>
      </c>
      <c r="C13" s="181" t="s">
        <v>163</v>
      </c>
    </row>
    <row r="14" spans="1:3" ht="15.5">
      <c r="A14" s="179">
        <v>12</v>
      </c>
      <c r="B14" s="180" t="s">
        <v>289</v>
      </c>
      <c r="C14" s="181" t="s">
        <v>171</v>
      </c>
    </row>
    <row r="15" spans="1:3" ht="15.5">
      <c r="A15" s="179">
        <v>13</v>
      </c>
      <c r="B15" s="180" t="s">
        <v>289</v>
      </c>
      <c r="C15" s="181" t="s">
        <v>179</v>
      </c>
    </row>
    <row r="16" spans="1:3" ht="15.5">
      <c r="A16" s="179">
        <v>14</v>
      </c>
      <c r="B16" s="180" t="s">
        <v>289</v>
      </c>
      <c r="C16" s="181" t="s">
        <v>185</v>
      </c>
    </row>
    <row r="17" spans="1:3" ht="15.5">
      <c r="A17" s="179">
        <v>15</v>
      </c>
      <c r="B17" s="180" t="s">
        <v>289</v>
      </c>
      <c r="C17" s="181" t="s">
        <v>192</v>
      </c>
    </row>
    <row r="18" spans="1:3" ht="15.5">
      <c r="A18" s="179">
        <v>16</v>
      </c>
      <c r="B18" s="180" t="s">
        <v>289</v>
      </c>
      <c r="C18" s="181" t="s">
        <v>199</v>
      </c>
    </row>
    <row r="19" spans="1:3" ht="15.5">
      <c r="A19" s="179">
        <v>17</v>
      </c>
      <c r="B19" s="180" t="s">
        <v>289</v>
      </c>
      <c r="C19" s="181" t="s">
        <v>205</v>
      </c>
    </row>
    <row r="20" spans="1:3" ht="15.5">
      <c r="A20" s="179">
        <v>18</v>
      </c>
      <c r="B20" s="180" t="s">
        <v>289</v>
      </c>
      <c r="C20" s="181" t="s">
        <v>223</v>
      </c>
    </row>
    <row r="21" spans="1:3" ht="15.5">
      <c r="A21" s="179">
        <v>19</v>
      </c>
      <c r="B21" s="180" t="s">
        <v>289</v>
      </c>
      <c r="C21" s="181" t="s">
        <v>231</v>
      </c>
    </row>
    <row r="22" spans="1:3" ht="15.5">
      <c r="A22" s="179">
        <v>20</v>
      </c>
      <c r="B22" s="180" t="s">
        <v>289</v>
      </c>
      <c r="C22" s="181" t="s">
        <v>237</v>
      </c>
    </row>
    <row r="23" spans="1:3" ht="15.5">
      <c r="A23" s="179">
        <v>21</v>
      </c>
      <c r="B23" s="180" t="s">
        <v>289</v>
      </c>
      <c r="C23" s="181" t="s">
        <v>244</v>
      </c>
    </row>
    <row r="24" spans="1:3" ht="15.5">
      <c r="A24" s="179">
        <v>22</v>
      </c>
      <c r="B24" s="180" t="s">
        <v>289</v>
      </c>
      <c r="C24" s="181" t="s">
        <v>251</v>
      </c>
    </row>
    <row r="25" spans="1:3" ht="15.5">
      <c r="A25" s="179">
        <v>23</v>
      </c>
      <c r="B25" s="180" t="s">
        <v>289</v>
      </c>
      <c r="C25" s="181" t="s">
        <v>266</v>
      </c>
    </row>
    <row r="26" spans="1:3" ht="15.5">
      <c r="A26" s="179">
        <v>24</v>
      </c>
      <c r="B26" s="180" t="s">
        <v>289</v>
      </c>
      <c r="C26" s="181" t="s">
        <v>275</v>
      </c>
    </row>
    <row r="27" spans="1:3" ht="15.5">
      <c r="A27" s="179">
        <v>25</v>
      </c>
      <c r="B27" s="180" t="s">
        <v>289</v>
      </c>
      <c r="C27" s="181" t="s">
        <v>288</v>
      </c>
    </row>
    <row r="28" spans="1:3" ht="15.5">
      <c r="A28" s="179">
        <v>26</v>
      </c>
      <c r="B28" s="180" t="s">
        <v>289</v>
      </c>
      <c r="C28" s="181" t="s">
        <v>301</v>
      </c>
    </row>
    <row r="29" spans="1:3" ht="15.5">
      <c r="A29" s="179">
        <v>27</v>
      </c>
      <c r="B29" s="180" t="s">
        <v>289</v>
      </c>
      <c r="C29" s="181" t="s">
        <v>309</v>
      </c>
    </row>
    <row r="30" spans="1:3" ht="15.5">
      <c r="A30" s="179">
        <v>28</v>
      </c>
      <c r="B30" s="180" t="s">
        <v>289</v>
      </c>
      <c r="C30" s="181" t="s">
        <v>325</v>
      </c>
    </row>
    <row r="31" spans="1:3" ht="15.5">
      <c r="A31" s="179">
        <v>29</v>
      </c>
      <c r="B31" s="180" t="s">
        <v>289</v>
      </c>
      <c r="C31" s="181" t="s">
        <v>331</v>
      </c>
    </row>
    <row r="32" spans="1:3" ht="15.5">
      <c r="A32" s="179">
        <v>30</v>
      </c>
      <c r="B32" s="180" t="s">
        <v>289</v>
      </c>
      <c r="C32" s="181" t="s">
        <v>339</v>
      </c>
    </row>
    <row r="33" spans="1:3" ht="15.5">
      <c r="A33" s="179">
        <v>31</v>
      </c>
      <c r="B33" s="180" t="s">
        <v>289</v>
      </c>
      <c r="C33" s="181" t="s">
        <v>350</v>
      </c>
    </row>
    <row r="34" spans="1:3" ht="15.5">
      <c r="A34" s="179">
        <v>32</v>
      </c>
      <c r="B34" s="180" t="s">
        <v>289</v>
      </c>
      <c r="C34" s="181" t="s">
        <v>355</v>
      </c>
    </row>
    <row r="35" spans="1:3" ht="15.5">
      <c r="A35" s="179">
        <v>33</v>
      </c>
      <c r="B35" s="180" t="s">
        <v>289</v>
      </c>
      <c r="C35" s="181" t="s">
        <v>362</v>
      </c>
    </row>
    <row r="36" spans="1:3" ht="15.5">
      <c r="A36" s="179">
        <v>34</v>
      </c>
      <c r="B36" s="180" t="s">
        <v>289</v>
      </c>
      <c r="C36" s="181" t="s">
        <v>371</v>
      </c>
    </row>
    <row r="37" spans="1:3" ht="15.5">
      <c r="A37" s="179">
        <v>35</v>
      </c>
      <c r="B37" s="180" t="s">
        <v>289</v>
      </c>
      <c r="C37" s="181" t="s">
        <v>378</v>
      </c>
    </row>
    <row r="38" spans="1:3" ht="15.5">
      <c r="A38" s="179">
        <v>36</v>
      </c>
      <c r="B38" s="180" t="s">
        <v>289</v>
      </c>
      <c r="C38" s="181" t="s">
        <v>389</v>
      </c>
    </row>
    <row r="39" spans="1:3" ht="15.5">
      <c r="A39" s="179">
        <v>37</v>
      </c>
      <c r="B39" s="180" t="s">
        <v>289</v>
      </c>
      <c r="C39" s="181" t="s">
        <v>394</v>
      </c>
    </row>
    <row r="40" spans="1:3" ht="15.5">
      <c r="A40" s="179">
        <v>38</v>
      </c>
      <c r="B40" s="180" t="s">
        <v>289</v>
      </c>
      <c r="C40" s="181" t="s">
        <v>400</v>
      </c>
    </row>
    <row r="41" spans="1:3" ht="15.5">
      <c r="A41" s="179">
        <v>39</v>
      </c>
      <c r="B41" s="180" t="s">
        <v>289</v>
      </c>
      <c r="C41" s="181" t="s">
        <v>407</v>
      </c>
    </row>
    <row r="42" spans="1:3" ht="15.5">
      <c r="A42" s="179">
        <v>40</v>
      </c>
      <c r="B42" s="180" t="s">
        <v>289</v>
      </c>
      <c r="C42" s="181" t="s">
        <v>418</v>
      </c>
    </row>
    <row r="43" spans="1:3" ht="15.5">
      <c r="A43" s="179">
        <v>41</v>
      </c>
      <c r="B43" s="180" t="s">
        <v>289</v>
      </c>
      <c r="C43" s="181" t="s">
        <v>426</v>
      </c>
    </row>
    <row r="44" spans="1:3" ht="15.5">
      <c r="A44" s="179">
        <v>42</v>
      </c>
      <c r="B44" s="180" t="s">
        <v>289</v>
      </c>
      <c r="C44" s="181" t="s">
        <v>435</v>
      </c>
    </row>
    <row r="45" spans="1:3" ht="15.5">
      <c r="A45" s="179">
        <v>43</v>
      </c>
      <c r="B45" s="180" t="s">
        <v>289</v>
      </c>
      <c r="C45" s="181" t="s">
        <v>444</v>
      </c>
    </row>
    <row r="46" spans="1:3" ht="15.5">
      <c r="A46" s="179">
        <v>44</v>
      </c>
      <c r="B46" s="180" t="s">
        <v>289</v>
      </c>
      <c r="C46" s="181" t="s">
        <v>454</v>
      </c>
    </row>
    <row r="47" spans="1:3" ht="15.5">
      <c r="A47" s="179">
        <v>45</v>
      </c>
      <c r="B47" s="180" t="s">
        <v>289</v>
      </c>
      <c r="C47" s="181" t="s">
        <v>464</v>
      </c>
    </row>
    <row r="48" spans="1:3" ht="15.5">
      <c r="A48" s="179">
        <v>46</v>
      </c>
      <c r="B48" s="180" t="s">
        <v>289</v>
      </c>
      <c r="C48" s="181" t="s">
        <v>475</v>
      </c>
    </row>
    <row r="49" spans="1:3" ht="15.5">
      <c r="A49" s="179">
        <v>47</v>
      </c>
      <c r="B49" s="180" t="s">
        <v>289</v>
      </c>
      <c r="C49" s="181" t="s">
        <v>486</v>
      </c>
    </row>
    <row r="50" spans="1:3" ht="15.5">
      <c r="A50" s="179">
        <v>48</v>
      </c>
      <c r="B50" s="180" t="s">
        <v>289</v>
      </c>
      <c r="C50" s="181" t="s">
        <v>494</v>
      </c>
    </row>
    <row r="51" spans="1:3" ht="15.5">
      <c r="A51" s="179">
        <v>49</v>
      </c>
      <c r="B51" s="180" t="s">
        <v>289</v>
      </c>
      <c r="C51" s="181" t="s">
        <v>500</v>
      </c>
    </row>
    <row r="52" spans="1:3" ht="15.5">
      <c r="A52" s="179">
        <v>50</v>
      </c>
      <c r="B52" s="180" t="s">
        <v>289</v>
      </c>
      <c r="C52" s="181" t="s">
        <v>513</v>
      </c>
    </row>
    <row r="53" spans="1:3" ht="15.5">
      <c r="A53" s="179">
        <v>51</v>
      </c>
      <c r="B53" s="180" t="s">
        <v>289</v>
      </c>
      <c r="C53" s="181" t="s">
        <v>529</v>
      </c>
    </row>
    <row r="54" spans="1:3" ht="15.5">
      <c r="A54" s="179">
        <v>52</v>
      </c>
      <c r="B54" s="180" t="s">
        <v>289</v>
      </c>
      <c r="C54" s="181" t="s">
        <v>534</v>
      </c>
    </row>
    <row r="55" spans="1:3" ht="15.5">
      <c r="A55" s="179">
        <v>53</v>
      </c>
      <c r="B55" s="180" t="s">
        <v>289</v>
      </c>
      <c r="C55" s="181" t="s">
        <v>541</v>
      </c>
    </row>
    <row r="56" spans="1:3" ht="15.5">
      <c r="A56" s="179">
        <v>54</v>
      </c>
      <c r="B56" s="180" t="s">
        <v>289</v>
      </c>
      <c r="C56" s="181" t="s">
        <v>548</v>
      </c>
    </row>
    <row r="57" spans="1:3" ht="15.5">
      <c r="A57" s="179">
        <v>55</v>
      </c>
      <c r="B57" s="180" t="s">
        <v>289</v>
      </c>
      <c r="C57" s="181" t="s">
        <v>556</v>
      </c>
    </row>
    <row r="58" spans="1:3" ht="15.5">
      <c r="A58" s="179">
        <v>56</v>
      </c>
      <c r="B58" s="180" t="s">
        <v>289</v>
      </c>
      <c r="C58" s="181" t="s">
        <v>565</v>
      </c>
    </row>
    <row r="59" spans="1:3" ht="15.5">
      <c r="A59" s="179">
        <v>57</v>
      </c>
      <c r="B59" s="180" t="s">
        <v>289</v>
      </c>
      <c r="C59" s="181" t="s">
        <v>573</v>
      </c>
    </row>
    <row r="60" spans="1:3" ht="15.5">
      <c r="A60" s="179">
        <v>58</v>
      </c>
      <c r="B60" s="180" t="s">
        <v>741</v>
      </c>
      <c r="C60" s="181" t="s">
        <v>592</v>
      </c>
    </row>
    <row r="61" spans="1:3" ht="15.5">
      <c r="A61" s="179">
        <v>59</v>
      </c>
      <c r="B61" s="180" t="s">
        <v>741</v>
      </c>
      <c r="C61" s="181" t="s">
        <v>619</v>
      </c>
    </row>
    <row r="62" spans="1:3" ht="15.5">
      <c r="A62" s="179">
        <v>60</v>
      </c>
      <c r="B62" s="180" t="s">
        <v>741</v>
      </c>
      <c r="C62" s="181" t="s">
        <v>630</v>
      </c>
    </row>
    <row r="63" spans="1:3" ht="15.5">
      <c r="A63" s="179">
        <v>61</v>
      </c>
      <c r="B63" s="180" t="s">
        <v>741</v>
      </c>
      <c r="C63" s="181" t="s">
        <v>595</v>
      </c>
    </row>
    <row r="64" spans="1:3" ht="15.5">
      <c r="A64" s="179">
        <v>62</v>
      </c>
      <c r="B64" s="180" t="s">
        <v>741</v>
      </c>
      <c r="C64" s="181" t="s">
        <v>739</v>
      </c>
    </row>
    <row r="65" spans="1:3" ht="15.5">
      <c r="A65" s="179">
        <v>63</v>
      </c>
      <c r="B65" s="180" t="s">
        <v>741</v>
      </c>
      <c r="C65" s="181" t="s">
        <v>648</v>
      </c>
    </row>
    <row r="66" spans="1:3" ht="15.5">
      <c r="A66" s="179">
        <v>64</v>
      </c>
      <c r="B66" s="180" t="s">
        <v>741</v>
      </c>
      <c r="C66" s="181" t="s">
        <v>581</v>
      </c>
    </row>
    <row r="67" spans="1:3" ht="15.5">
      <c r="A67" s="179">
        <v>65</v>
      </c>
      <c r="B67" s="180" t="s">
        <v>741</v>
      </c>
      <c r="C67" s="181" t="s">
        <v>701</v>
      </c>
    </row>
    <row r="68" spans="1:3" ht="15.5">
      <c r="A68" s="179">
        <v>66</v>
      </c>
      <c r="B68" s="180" t="s">
        <v>742</v>
      </c>
      <c r="C68" s="181" t="s">
        <v>631</v>
      </c>
    </row>
    <row r="69" spans="1:3" ht="15.5">
      <c r="A69" s="179">
        <v>67</v>
      </c>
      <c r="B69" s="180" t="s">
        <v>742</v>
      </c>
      <c r="C69" s="181" t="s">
        <v>686</v>
      </c>
    </row>
    <row r="70" spans="1:3" ht="15.5">
      <c r="A70" s="179">
        <v>68</v>
      </c>
      <c r="B70" s="180" t="s">
        <v>742</v>
      </c>
      <c r="C70" s="181" t="s">
        <v>644</v>
      </c>
    </row>
    <row r="71" spans="1:3" ht="15.5">
      <c r="A71" s="179">
        <v>69</v>
      </c>
      <c r="B71" s="180" t="s">
        <v>743</v>
      </c>
      <c r="C71" s="181" t="s">
        <v>597</v>
      </c>
    </row>
    <row r="72" spans="1:3" ht="15.5">
      <c r="A72" s="179">
        <v>70</v>
      </c>
      <c r="B72" s="180" t="s">
        <v>743</v>
      </c>
      <c r="C72" s="181" t="s">
        <v>670</v>
      </c>
    </row>
    <row r="73" spans="1:3" ht="15.5">
      <c r="A73" s="179">
        <v>71</v>
      </c>
      <c r="B73" s="180" t="s">
        <v>743</v>
      </c>
      <c r="C73" s="181" t="s">
        <v>667</v>
      </c>
    </row>
    <row r="74" spans="1:3" ht="15.5">
      <c r="A74" s="179">
        <v>72</v>
      </c>
      <c r="B74" s="180" t="s">
        <v>743</v>
      </c>
      <c r="C74" s="181" t="s">
        <v>694</v>
      </c>
    </row>
    <row r="75" spans="1:3" ht="15.5">
      <c r="A75" s="179">
        <v>73</v>
      </c>
      <c r="B75" s="180" t="s">
        <v>744</v>
      </c>
      <c r="C75" s="181" t="s">
        <v>705</v>
      </c>
    </row>
    <row r="76" spans="1:3" ht="15.5">
      <c r="A76" s="179">
        <v>74</v>
      </c>
      <c r="B76" s="180" t="s">
        <v>744</v>
      </c>
      <c r="C76" s="181" t="s">
        <v>722</v>
      </c>
    </row>
    <row r="77" spans="1:3" ht="15.5">
      <c r="A77" s="179">
        <v>75</v>
      </c>
      <c r="B77" s="180" t="s">
        <v>744</v>
      </c>
      <c r="C77" s="181" t="s">
        <v>649</v>
      </c>
    </row>
    <row r="78" spans="1:3" ht="15.5">
      <c r="A78" s="179">
        <v>76</v>
      </c>
      <c r="B78" s="180" t="s">
        <v>744</v>
      </c>
      <c r="C78" s="181" t="s">
        <v>719</v>
      </c>
    </row>
    <row r="79" spans="1:3" ht="15.5">
      <c r="A79" s="179">
        <v>77</v>
      </c>
      <c r="B79" s="180" t="s">
        <v>744</v>
      </c>
      <c r="C79" s="181" t="s">
        <v>625</v>
      </c>
    </row>
    <row r="80" spans="1:3" ht="15.5">
      <c r="A80" s="179">
        <v>78</v>
      </c>
      <c r="B80" s="180" t="s">
        <v>745</v>
      </c>
      <c r="C80" s="181" t="s">
        <v>699</v>
      </c>
    </row>
    <row r="81" spans="1:3" ht="15.5">
      <c r="A81" s="179">
        <v>79</v>
      </c>
      <c r="B81" s="180" t="s">
        <v>746</v>
      </c>
      <c r="C81" s="181" t="s">
        <v>724</v>
      </c>
    </row>
    <row r="82" spans="1:3" ht="15.5">
      <c r="A82" s="179">
        <v>80</v>
      </c>
      <c r="B82" s="180" t="s">
        <v>746</v>
      </c>
      <c r="C82" s="181" t="s">
        <v>693</v>
      </c>
    </row>
    <row r="83" spans="1:3" ht="15.5">
      <c r="A83" s="179">
        <v>81</v>
      </c>
      <c r="B83" s="180" t="s">
        <v>746</v>
      </c>
      <c r="C83" s="181" t="s">
        <v>704</v>
      </c>
    </row>
    <row r="84" spans="1:3" ht="15.5">
      <c r="A84" s="179">
        <v>82</v>
      </c>
      <c r="B84" s="180" t="s">
        <v>746</v>
      </c>
      <c r="C84" s="181" t="s">
        <v>723</v>
      </c>
    </row>
    <row r="85" spans="1:3" ht="15.5">
      <c r="A85" s="179">
        <v>83</v>
      </c>
      <c r="B85" s="180" t="s">
        <v>746</v>
      </c>
      <c r="C85" s="181" t="s">
        <v>634</v>
      </c>
    </row>
    <row r="86" spans="1:3" ht="15.5">
      <c r="A86" s="179">
        <v>84</v>
      </c>
      <c r="B86" s="180" t="s">
        <v>746</v>
      </c>
      <c r="C86" s="181" t="s">
        <v>738</v>
      </c>
    </row>
    <row r="87" spans="1:3" ht="15.5">
      <c r="A87" s="179">
        <v>85</v>
      </c>
      <c r="B87" s="180" t="s">
        <v>746</v>
      </c>
      <c r="C87" s="181" t="s">
        <v>718</v>
      </c>
    </row>
    <row r="88" spans="1:3" ht="15.5">
      <c r="A88" s="179">
        <v>86</v>
      </c>
      <c r="B88" s="180" t="s">
        <v>747</v>
      </c>
      <c r="C88" s="181" t="s">
        <v>712</v>
      </c>
    </row>
    <row r="89" spans="1:3" ht="15.5">
      <c r="A89" s="179">
        <v>87</v>
      </c>
      <c r="B89" s="180" t="s">
        <v>747</v>
      </c>
      <c r="C89" s="181" t="s">
        <v>596</v>
      </c>
    </row>
    <row r="90" spans="1:3" ht="15.5">
      <c r="A90" s="179">
        <v>88</v>
      </c>
      <c r="B90" s="180" t="s">
        <v>747</v>
      </c>
      <c r="C90" s="181" t="s">
        <v>629</v>
      </c>
    </row>
    <row r="91" spans="1:3" ht="15.5">
      <c r="A91" s="179">
        <v>89</v>
      </c>
      <c r="B91" s="180" t="s">
        <v>747</v>
      </c>
      <c r="C91" s="181" t="s">
        <v>727</v>
      </c>
    </row>
    <row r="92" spans="1:3" ht="15.5">
      <c r="A92" s="179">
        <v>90</v>
      </c>
      <c r="B92" s="180" t="s">
        <v>747</v>
      </c>
      <c r="C92" s="181" t="s">
        <v>732</v>
      </c>
    </row>
    <row r="93" spans="1:3" ht="15.5">
      <c r="A93" s="179">
        <v>91</v>
      </c>
      <c r="B93" s="180" t="s">
        <v>748</v>
      </c>
      <c r="C93" s="181" t="s">
        <v>613</v>
      </c>
    </row>
    <row r="94" spans="1:3" ht="15.5">
      <c r="A94" s="179">
        <v>92</v>
      </c>
      <c r="B94" s="180" t="s">
        <v>748</v>
      </c>
      <c r="C94" s="181" t="s">
        <v>726</v>
      </c>
    </row>
    <row r="95" spans="1:3" ht="15.5">
      <c r="A95" s="179">
        <v>93</v>
      </c>
      <c r="B95" s="180" t="s">
        <v>748</v>
      </c>
      <c r="C95" s="181" t="s">
        <v>646</v>
      </c>
    </row>
    <row r="96" spans="1:3" ht="15.5">
      <c r="A96" s="179">
        <v>94</v>
      </c>
      <c r="B96" s="180" t="s">
        <v>748</v>
      </c>
      <c r="C96" s="181" t="s">
        <v>627</v>
      </c>
    </row>
    <row r="97" spans="1:3" ht="15.5">
      <c r="A97" s="179">
        <v>95</v>
      </c>
      <c r="B97" s="180" t="s">
        <v>749</v>
      </c>
      <c r="C97" s="181" t="s">
        <v>675</v>
      </c>
    </row>
    <row r="98" spans="1:3" ht="15.5">
      <c r="A98" s="179">
        <v>96</v>
      </c>
      <c r="B98" s="180" t="s">
        <v>749</v>
      </c>
      <c r="C98" s="181" t="s">
        <v>652</v>
      </c>
    </row>
    <row r="99" spans="1:3" ht="15.5">
      <c r="A99" s="179">
        <v>97</v>
      </c>
      <c r="B99" s="180" t="s">
        <v>749</v>
      </c>
      <c r="C99" s="181" t="s">
        <v>623</v>
      </c>
    </row>
    <row r="100" spans="1:3" ht="15.5">
      <c r="A100" s="179">
        <v>98</v>
      </c>
      <c r="B100" s="180" t="s">
        <v>749</v>
      </c>
      <c r="C100" s="181" t="s">
        <v>637</v>
      </c>
    </row>
    <row r="101" spans="1:3" ht="15.5">
      <c r="A101" s="179">
        <v>99</v>
      </c>
      <c r="B101" s="180" t="s">
        <v>749</v>
      </c>
      <c r="C101" s="181" t="s">
        <v>647</v>
      </c>
    </row>
    <row r="102" spans="1:3" ht="15.5">
      <c r="A102" s="179">
        <v>100</v>
      </c>
      <c r="B102" s="180" t="s">
        <v>749</v>
      </c>
      <c r="C102" s="181" t="s">
        <v>716</v>
      </c>
    </row>
    <row r="103" spans="1:3" ht="15.5">
      <c r="A103" s="179">
        <v>101</v>
      </c>
      <c r="B103" s="180" t="s">
        <v>749</v>
      </c>
      <c r="C103" s="181" t="s">
        <v>689</v>
      </c>
    </row>
    <row r="104" spans="1:3" ht="15.5">
      <c r="A104" s="179">
        <v>102</v>
      </c>
      <c r="B104" s="180" t="s">
        <v>749</v>
      </c>
      <c r="C104" s="181" t="s">
        <v>617</v>
      </c>
    </row>
    <row r="105" spans="1:3" ht="15.5">
      <c r="A105" s="179">
        <v>103</v>
      </c>
      <c r="B105" s="180" t="s">
        <v>749</v>
      </c>
      <c r="C105" s="181" t="s">
        <v>618</v>
      </c>
    </row>
    <row r="106" spans="1:3" ht="15.5">
      <c r="A106" s="179">
        <v>104</v>
      </c>
      <c r="B106" s="180" t="s">
        <v>749</v>
      </c>
      <c r="C106" s="181" t="s">
        <v>603</v>
      </c>
    </row>
    <row r="107" spans="1:3" ht="15.5">
      <c r="A107" s="179">
        <v>105</v>
      </c>
      <c r="B107" s="180" t="s">
        <v>749</v>
      </c>
      <c r="C107" s="181" t="s">
        <v>650</v>
      </c>
    </row>
    <row r="108" spans="1:3" ht="15.5">
      <c r="A108" s="179">
        <v>106</v>
      </c>
      <c r="B108" s="180" t="s">
        <v>750</v>
      </c>
      <c r="C108" s="181" t="s">
        <v>658</v>
      </c>
    </row>
    <row r="109" spans="1:3" ht="15.5">
      <c r="A109" s="179">
        <v>107</v>
      </c>
      <c r="B109" s="180" t="s">
        <v>750</v>
      </c>
      <c r="C109" s="181" t="s">
        <v>681</v>
      </c>
    </row>
    <row r="110" spans="1:3" ht="15.5">
      <c r="A110" s="179">
        <v>108</v>
      </c>
      <c r="B110" s="180" t="s">
        <v>750</v>
      </c>
      <c r="C110" s="181" t="s">
        <v>691</v>
      </c>
    </row>
    <row r="111" spans="1:3" ht="15.5">
      <c r="A111" s="179">
        <v>109</v>
      </c>
      <c r="B111" s="180" t="s">
        <v>751</v>
      </c>
      <c r="C111" s="181" t="s">
        <v>687</v>
      </c>
    </row>
    <row r="112" spans="1:3" ht="15.5">
      <c r="A112" s="179">
        <v>110</v>
      </c>
      <c r="B112" s="180" t="s">
        <v>751</v>
      </c>
      <c r="C112" s="181" t="s">
        <v>715</v>
      </c>
    </row>
    <row r="113" spans="1:3" ht="15.5">
      <c r="A113" s="179">
        <v>111</v>
      </c>
      <c r="B113" s="180" t="s">
        <v>751</v>
      </c>
      <c r="C113" s="181" t="s">
        <v>651</v>
      </c>
    </row>
    <row r="114" spans="1:3" ht="15.5">
      <c r="A114" s="179">
        <v>112</v>
      </c>
      <c r="B114" s="180" t="s">
        <v>751</v>
      </c>
      <c r="C114" s="181" t="s">
        <v>665</v>
      </c>
    </row>
    <row r="115" spans="1:3" ht="15.5">
      <c r="A115" s="179">
        <v>113</v>
      </c>
      <c r="B115" s="180" t="s">
        <v>751</v>
      </c>
      <c r="C115" s="181" t="s">
        <v>695</v>
      </c>
    </row>
    <row r="116" spans="1:3" ht="15.5">
      <c r="A116" s="179">
        <v>114</v>
      </c>
      <c r="B116" s="180" t="s">
        <v>751</v>
      </c>
      <c r="C116" s="181" t="s">
        <v>636</v>
      </c>
    </row>
    <row r="117" spans="1:3" ht="15.5">
      <c r="A117" s="179">
        <v>115</v>
      </c>
      <c r="B117" s="180" t="s">
        <v>751</v>
      </c>
      <c r="C117" s="181" t="s">
        <v>654</v>
      </c>
    </row>
    <row r="118" spans="1:3" ht="15.5">
      <c r="A118" s="179">
        <v>116</v>
      </c>
      <c r="B118" s="180" t="s">
        <v>751</v>
      </c>
      <c r="C118" s="181" t="s">
        <v>600</v>
      </c>
    </row>
    <row r="119" spans="1:3" ht="15.5">
      <c r="A119" s="179">
        <v>117</v>
      </c>
      <c r="B119" s="180" t="s">
        <v>751</v>
      </c>
      <c r="C119" s="181" t="s">
        <v>601</v>
      </c>
    </row>
    <row r="120" spans="1:3" ht="15.5">
      <c r="A120" s="179">
        <v>118</v>
      </c>
      <c r="B120" s="180" t="s">
        <v>751</v>
      </c>
      <c r="C120" s="181" t="s">
        <v>692</v>
      </c>
    </row>
    <row r="121" spans="1:3" ht="15.5">
      <c r="A121" s="179">
        <v>119</v>
      </c>
      <c r="B121" s="180" t="s">
        <v>751</v>
      </c>
      <c r="C121" s="181" t="s">
        <v>640</v>
      </c>
    </row>
    <row r="122" spans="1:3" ht="15.5">
      <c r="A122" s="179">
        <v>120</v>
      </c>
      <c r="B122" s="180" t="s">
        <v>751</v>
      </c>
      <c r="C122" s="181" t="s">
        <v>674</v>
      </c>
    </row>
    <row r="123" spans="1:3" ht="15.5">
      <c r="A123" s="179">
        <v>121</v>
      </c>
      <c r="B123" s="180" t="s">
        <v>751</v>
      </c>
      <c r="C123" s="181" t="s">
        <v>602</v>
      </c>
    </row>
    <row r="124" spans="1:3" ht="15.5">
      <c r="A124" s="179">
        <v>122</v>
      </c>
      <c r="B124" s="180" t="s">
        <v>751</v>
      </c>
      <c r="C124" s="181" t="s">
        <v>700</v>
      </c>
    </row>
    <row r="125" spans="1:3" ht="15.5">
      <c r="A125" s="179">
        <v>123</v>
      </c>
      <c r="B125" s="180" t="s">
        <v>751</v>
      </c>
      <c r="C125" s="181" t="s">
        <v>698</v>
      </c>
    </row>
    <row r="126" spans="1:3" ht="15.5">
      <c r="A126" s="179">
        <v>124</v>
      </c>
      <c r="B126" s="180" t="s">
        <v>751</v>
      </c>
      <c r="C126" s="181" t="s">
        <v>684</v>
      </c>
    </row>
    <row r="127" spans="1:3" ht="15.5">
      <c r="A127" s="179">
        <v>125</v>
      </c>
      <c r="B127" s="180" t="s">
        <v>751</v>
      </c>
      <c r="C127" s="181" t="s">
        <v>725</v>
      </c>
    </row>
    <row r="128" spans="1:3" ht="15.5">
      <c r="A128" s="179">
        <v>126</v>
      </c>
      <c r="B128" s="180" t="s">
        <v>751</v>
      </c>
      <c r="C128" s="181" t="s">
        <v>661</v>
      </c>
    </row>
    <row r="129" spans="1:3" ht="15.5">
      <c r="A129" s="179">
        <v>127</v>
      </c>
      <c r="B129" s="180" t="s">
        <v>752</v>
      </c>
      <c r="C129" s="181" t="s">
        <v>622</v>
      </c>
    </row>
    <row r="130" spans="1:3" ht="15.5">
      <c r="A130" s="179">
        <v>128</v>
      </c>
      <c r="B130" s="180" t="s">
        <v>752</v>
      </c>
      <c r="C130" s="181" t="s">
        <v>656</v>
      </c>
    </row>
    <row r="131" spans="1:3" ht="15.5">
      <c r="A131" s="179">
        <v>129</v>
      </c>
      <c r="B131" s="180" t="s">
        <v>753</v>
      </c>
      <c r="C131" s="181" t="s">
        <v>713</v>
      </c>
    </row>
    <row r="132" spans="1:3" ht="15.5">
      <c r="A132" s="179">
        <v>130</v>
      </c>
      <c r="B132" s="180" t="s">
        <v>754</v>
      </c>
      <c r="C132" s="181" t="s">
        <v>626</v>
      </c>
    </row>
    <row r="133" spans="1:3" ht="15.5">
      <c r="A133" s="179">
        <v>131</v>
      </c>
      <c r="B133" s="180" t="s">
        <v>754</v>
      </c>
      <c r="C133" s="181" t="s">
        <v>668</v>
      </c>
    </row>
    <row r="134" spans="1:3" ht="15.5">
      <c r="A134" s="179">
        <v>132</v>
      </c>
      <c r="B134" s="180" t="s">
        <v>754</v>
      </c>
      <c r="C134" s="181" t="s">
        <v>721</v>
      </c>
    </row>
    <row r="135" spans="1:3" ht="15.5">
      <c r="A135" s="179">
        <v>133</v>
      </c>
      <c r="B135" s="180" t="s">
        <v>754</v>
      </c>
      <c r="C135" s="181" t="s">
        <v>728</v>
      </c>
    </row>
    <row r="136" spans="1:3" ht="15.5">
      <c r="A136" s="179">
        <v>134</v>
      </c>
      <c r="B136" s="180" t="s">
        <v>754</v>
      </c>
      <c r="C136" s="181" t="s">
        <v>620</v>
      </c>
    </row>
    <row r="137" spans="1:3" ht="15.5">
      <c r="A137" s="179">
        <v>135</v>
      </c>
      <c r="B137" s="180" t="s">
        <v>754</v>
      </c>
      <c r="C137" s="181" t="s">
        <v>607</v>
      </c>
    </row>
    <row r="138" spans="1:3" ht="15.5">
      <c r="A138" s="179">
        <v>136</v>
      </c>
      <c r="B138" s="180" t="s">
        <v>755</v>
      </c>
      <c r="C138" s="181" t="s">
        <v>664</v>
      </c>
    </row>
    <row r="139" spans="1:3" ht="15.5">
      <c r="A139" s="179">
        <v>137</v>
      </c>
      <c r="B139" s="180" t="s">
        <v>755</v>
      </c>
      <c r="C139" s="181" t="s">
        <v>604</v>
      </c>
    </row>
    <row r="140" spans="1:3" ht="15.5">
      <c r="A140" s="179">
        <v>138</v>
      </c>
      <c r="B140" s="180" t="s">
        <v>755</v>
      </c>
      <c r="C140" s="181" t="s">
        <v>673</v>
      </c>
    </row>
    <row r="141" spans="1:3" ht="15.5">
      <c r="A141" s="179">
        <v>139</v>
      </c>
      <c r="B141" s="180" t="s">
        <v>755</v>
      </c>
      <c r="C141" s="181" t="s">
        <v>638</v>
      </c>
    </row>
    <row r="142" spans="1:3" ht="15.5">
      <c r="A142" s="179">
        <v>140</v>
      </c>
      <c r="B142" s="180" t="s">
        <v>755</v>
      </c>
      <c r="C142" s="181" t="s">
        <v>710</v>
      </c>
    </row>
    <row r="143" spans="1:3" ht="15.5">
      <c r="A143" s="179">
        <v>141</v>
      </c>
      <c r="B143" s="180" t="s">
        <v>756</v>
      </c>
      <c r="C143" s="181" t="s">
        <v>697</v>
      </c>
    </row>
    <row r="144" spans="1:3" ht="15.5">
      <c r="A144" s="179">
        <v>142</v>
      </c>
      <c r="B144" s="180" t="s">
        <v>756</v>
      </c>
      <c r="C144" s="181" t="s">
        <v>605</v>
      </c>
    </row>
    <row r="145" spans="1:3" ht="15.5">
      <c r="A145" s="179">
        <v>143</v>
      </c>
      <c r="B145" s="180" t="s">
        <v>756</v>
      </c>
      <c r="C145" s="181" t="s">
        <v>737</v>
      </c>
    </row>
    <row r="146" spans="1:3" ht="15.5">
      <c r="A146" s="179">
        <v>144</v>
      </c>
      <c r="B146" s="180" t="s">
        <v>756</v>
      </c>
      <c r="C146" s="181" t="s">
        <v>633</v>
      </c>
    </row>
    <row r="147" spans="1:3" ht="15.5">
      <c r="A147" s="179">
        <v>145</v>
      </c>
      <c r="B147" s="180" t="s">
        <v>756</v>
      </c>
      <c r="C147" s="181" t="s">
        <v>730</v>
      </c>
    </row>
    <row r="148" spans="1:3" ht="15.5">
      <c r="A148" s="179">
        <v>146</v>
      </c>
      <c r="B148" s="180" t="s">
        <v>756</v>
      </c>
      <c r="C148" s="181" t="s">
        <v>614</v>
      </c>
    </row>
    <row r="149" spans="1:3" ht="15.5">
      <c r="A149" s="179">
        <v>147</v>
      </c>
      <c r="B149" s="180" t="s">
        <v>756</v>
      </c>
      <c r="C149" s="181" t="s">
        <v>621</v>
      </c>
    </row>
    <row r="150" spans="1:3" ht="15.5">
      <c r="A150" s="179">
        <v>148</v>
      </c>
      <c r="B150" s="180" t="s">
        <v>756</v>
      </c>
      <c r="C150" s="181" t="s">
        <v>642</v>
      </c>
    </row>
    <row r="151" spans="1:3" ht="15.5">
      <c r="A151" s="179">
        <v>149</v>
      </c>
      <c r="B151" s="180" t="s">
        <v>756</v>
      </c>
      <c r="C151" s="181" t="s">
        <v>663</v>
      </c>
    </row>
    <row r="152" spans="1:3" ht="15.5">
      <c r="A152" s="179">
        <v>150</v>
      </c>
      <c r="B152" s="180" t="s">
        <v>756</v>
      </c>
      <c r="C152" s="181" t="s">
        <v>643</v>
      </c>
    </row>
    <row r="153" spans="1:3" ht="15.5">
      <c r="A153" s="179">
        <v>151</v>
      </c>
      <c r="B153" s="180" t="s">
        <v>756</v>
      </c>
      <c r="C153" s="181" t="s">
        <v>666</v>
      </c>
    </row>
    <row r="154" spans="1:3" ht="15.5">
      <c r="A154" s="179">
        <v>152</v>
      </c>
      <c r="B154" s="180" t="s">
        <v>756</v>
      </c>
      <c r="C154" s="181" t="s">
        <v>735</v>
      </c>
    </row>
    <row r="155" spans="1:3" ht="15.5">
      <c r="A155" s="179">
        <v>153</v>
      </c>
      <c r="B155" s="180" t="s">
        <v>756</v>
      </c>
      <c r="C155" s="181" t="s">
        <v>676</v>
      </c>
    </row>
    <row r="156" spans="1:3" ht="15.5">
      <c r="A156" s="179">
        <v>154</v>
      </c>
      <c r="B156" s="180" t="s">
        <v>756</v>
      </c>
      <c r="C156" s="181" t="s">
        <v>612</v>
      </c>
    </row>
    <row r="157" spans="1:3" ht="15.5">
      <c r="A157" s="179">
        <v>155</v>
      </c>
      <c r="B157" s="180" t="s">
        <v>757</v>
      </c>
      <c r="C157" s="181" t="s">
        <v>696</v>
      </c>
    </row>
    <row r="158" spans="1:3" ht="15.5">
      <c r="A158" s="179">
        <v>156</v>
      </c>
      <c r="B158" s="180" t="s">
        <v>757</v>
      </c>
      <c r="C158" s="181" t="s">
        <v>711</v>
      </c>
    </row>
    <row r="159" spans="1:3" ht="15.5">
      <c r="A159" s="179">
        <v>157</v>
      </c>
      <c r="B159" s="180" t="s">
        <v>757</v>
      </c>
      <c r="C159" s="181" t="s">
        <v>685</v>
      </c>
    </row>
    <row r="160" spans="1:3" ht="15.5">
      <c r="A160" s="179">
        <v>158</v>
      </c>
      <c r="B160" s="180" t="s">
        <v>758</v>
      </c>
      <c r="C160" s="181" t="s">
        <v>615</v>
      </c>
    </row>
    <row r="161" spans="1:3" ht="15.5">
      <c r="A161" s="179">
        <v>159</v>
      </c>
      <c r="B161" s="180" t="s">
        <v>758</v>
      </c>
      <c r="C161" s="181" t="s">
        <v>608</v>
      </c>
    </row>
    <row r="162" spans="1:3" ht="15.5">
      <c r="A162" s="179">
        <v>160</v>
      </c>
      <c r="B162" s="180" t="s">
        <v>758</v>
      </c>
      <c r="C162" s="181" t="s">
        <v>672</v>
      </c>
    </row>
    <row r="163" spans="1:3" ht="15.5">
      <c r="A163" s="179">
        <v>161</v>
      </c>
      <c r="B163" s="180" t="s">
        <v>758</v>
      </c>
      <c r="C163" s="181" t="s">
        <v>645</v>
      </c>
    </row>
    <row r="164" spans="1:3" ht="15.5">
      <c r="A164" s="179">
        <v>162</v>
      </c>
      <c r="B164" s="180" t="s">
        <v>758</v>
      </c>
      <c r="C164" s="181" t="s">
        <v>702</v>
      </c>
    </row>
    <row r="165" spans="1:3" ht="15.5">
      <c r="A165" s="179">
        <v>163</v>
      </c>
      <c r="B165" s="180" t="s">
        <v>759</v>
      </c>
      <c r="C165" s="181" t="s">
        <v>709</v>
      </c>
    </row>
    <row r="166" spans="1:3" ht="15.5">
      <c r="A166" s="179">
        <v>164</v>
      </c>
      <c r="B166" s="180" t="s">
        <v>759</v>
      </c>
      <c r="C166" s="181" t="s">
        <v>688</v>
      </c>
    </row>
    <row r="167" spans="1:3" ht="15.5">
      <c r="A167" s="179">
        <v>165</v>
      </c>
      <c r="B167" s="180" t="s">
        <v>759</v>
      </c>
      <c r="C167" s="181" t="s">
        <v>610</v>
      </c>
    </row>
    <row r="168" spans="1:3" ht="15.5">
      <c r="A168" s="179">
        <v>166</v>
      </c>
      <c r="B168" s="180" t="s">
        <v>759</v>
      </c>
      <c r="C168" s="181" t="s">
        <v>731</v>
      </c>
    </row>
    <row r="169" spans="1:3" ht="15.5">
      <c r="A169" s="179">
        <v>167</v>
      </c>
      <c r="B169" s="180" t="s">
        <v>759</v>
      </c>
      <c r="C169" s="181" t="s">
        <v>717</v>
      </c>
    </row>
    <row r="170" spans="1:3" ht="15.5">
      <c r="A170" s="179">
        <v>168</v>
      </c>
      <c r="B170" s="180" t="s">
        <v>759</v>
      </c>
      <c r="C170" s="181" t="s">
        <v>606</v>
      </c>
    </row>
    <row r="171" spans="1:3" ht="15.5">
      <c r="A171" s="179">
        <v>169</v>
      </c>
      <c r="B171" s="180" t="s">
        <v>759</v>
      </c>
      <c r="C171" s="181" t="s">
        <v>706</v>
      </c>
    </row>
    <row r="172" spans="1:3" ht="15.5">
      <c r="A172" s="179">
        <v>170</v>
      </c>
      <c r="B172" s="180" t="s">
        <v>759</v>
      </c>
      <c r="C172" s="181" t="s">
        <v>609</v>
      </c>
    </row>
    <row r="173" spans="1:3" ht="15.5">
      <c r="A173" s="179">
        <v>171</v>
      </c>
      <c r="B173" s="180" t="s">
        <v>759</v>
      </c>
      <c r="C173" s="181" t="s">
        <v>641</v>
      </c>
    </row>
    <row r="174" spans="1:3" ht="15.5">
      <c r="A174" s="179">
        <v>172</v>
      </c>
      <c r="B174" s="180" t="s">
        <v>759</v>
      </c>
      <c r="C174" s="181" t="s">
        <v>683</v>
      </c>
    </row>
    <row r="175" spans="1:3" ht="15.5">
      <c r="A175" s="179">
        <v>173</v>
      </c>
      <c r="B175" s="180" t="s">
        <v>759</v>
      </c>
      <c r="C175" s="181" t="s">
        <v>599</v>
      </c>
    </row>
    <row r="176" spans="1:3" ht="15.5">
      <c r="A176" s="179">
        <v>174</v>
      </c>
      <c r="B176" s="180" t="s">
        <v>759</v>
      </c>
      <c r="C176" s="181" t="s">
        <v>624</v>
      </c>
    </row>
    <row r="177" spans="1:3" ht="15.5">
      <c r="A177" s="179">
        <v>175</v>
      </c>
      <c r="B177" s="180" t="s">
        <v>760</v>
      </c>
      <c r="C177" s="181" t="s">
        <v>703</v>
      </c>
    </row>
    <row r="178" spans="1:3" ht="15.5">
      <c r="A178" s="179">
        <v>176</v>
      </c>
      <c r="B178" s="180" t="s">
        <v>760</v>
      </c>
      <c r="C178" s="181" t="s">
        <v>720</v>
      </c>
    </row>
    <row r="179" spans="1:3" ht="15.5">
      <c r="A179" s="179">
        <v>177</v>
      </c>
      <c r="B179" s="180" t="s">
        <v>760</v>
      </c>
      <c r="C179" s="181" t="s">
        <v>729</v>
      </c>
    </row>
    <row r="180" spans="1:3" ht="15.5">
      <c r="A180" s="179">
        <v>178</v>
      </c>
      <c r="B180" s="180" t="s">
        <v>760</v>
      </c>
      <c r="C180" s="181" t="s">
        <v>660</v>
      </c>
    </row>
    <row r="181" spans="1:3" ht="15.5">
      <c r="A181" s="179">
        <v>179</v>
      </c>
      <c r="B181" s="180" t="s">
        <v>760</v>
      </c>
      <c r="C181" s="181" t="s">
        <v>657</v>
      </c>
    </row>
    <row r="182" spans="1:3" ht="15.5">
      <c r="A182" s="179">
        <v>180</v>
      </c>
      <c r="B182" s="180" t="s">
        <v>760</v>
      </c>
      <c r="C182" s="181" t="s">
        <v>714</v>
      </c>
    </row>
    <row r="183" spans="1:3" ht="15.5">
      <c r="A183" s="179">
        <v>181</v>
      </c>
      <c r="B183" s="180" t="s">
        <v>760</v>
      </c>
      <c r="C183" s="181" t="s">
        <v>659</v>
      </c>
    </row>
    <row r="184" spans="1:3" ht="15.5">
      <c r="A184" s="179">
        <v>182</v>
      </c>
      <c r="B184" s="180" t="s">
        <v>760</v>
      </c>
      <c r="C184" s="181" t="s">
        <v>682</v>
      </c>
    </row>
    <row r="185" spans="1:3" ht="15.5">
      <c r="A185" s="179">
        <v>183</v>
      </c>
      <c r="B185" s="180" t="s">
        <v>760</v>
      </c>
      <c r="C185" s="181" t="s">
        <v>611</v>
      </c>
    </row>
    <row r="186" spans="1:3" ht="15.5">
      <c r="A186" s="179">
        <v>184</v>
      </c>
      <c r="B186" s="180" t="s">
        <v>760</v>
      </c>
      <c r="C186" s="181" t="s">
        <v>628</v>
      </c>
    </row>
    <row r="187" spans="1:3" ht="15.5">
      <c r="A187" s="179">
        <v>185</v>
      </c>
      <c r="B187" s="180" t="s">
        <v>760</v>
      </c>
      <c r="C187" s="181" t="s">
        <v>734</v>
      </c>
    </row>
    <row r="188" spans="1:3" ht="15.5">
      <c r="A188" s="179">
        <v>186</v>
      </c>
      <c r="B188" s="180" t="s">
        <v>760</v>
      </c>
      <c r="C188" s="181" t="s">
        <v>616</v>
      </c>
    </row>
    <row r="189" spans="1:3" ht="15.5">
      <c r="A189" s="179">
        <v>187</v>
      </c>
      <c r="B189" s="180" t="s">
        <v>760</v>
      </c>
      <c r="C189" s="181" t="s">
        <v>707</v>
      </c>
    </row>
    <row r="190" spans="1:3" ht="15.5">
      <c r="A190" s="179">
        <v>188</v>
      </c>
      <c r="B190" s="180" t="s">
        <v>760</v>
      </c>
      <c r="C190" s="181" t="s">
        <v>708</v>
      </c>
    </row>
    <row r="191" spans="1:3" ht="15.5">
      <c r="A191" s="179">
        <v>189</v>
      </c>
      <c r="B191" s="180" t="s">
        <v>760</v>
      </c>
      <c r="C191" s="181" t="s">
        <v>671</v>
      </c>
    </row>
    <row r="192" spans="1:3" ht="15.5">
      <c r="A192" s="179">
        <v>190</v>
      </c>
      <c r="B192" s="180" t="s">
        <v>760</v>
      </c>
      <c r="C192" s="181" t="s">
        <v>635</v>
      </c>
    </row>
    <row r="193" spans="1:3" ht="15.5">
      <c r="A193" s="179">
        <v>191</v>
      </c>
      <c r="B193" s="180" t="s">
        <v>760</v>
      </c>
      <c r="C193" s="181" t="s">
        <v>679</v>
      </c>
    </row>
    <row r="194" spans="1:3" ht="15.5">
      <c r="A194" s="179">
        <v>192</v>
      </c>
      <c r="B194" s="180" t="s">
        <v>761</v>
      </c>
      <c r="C194" s="181" t="s">
        <v>653</v>
      </c>
    </row>
    <row r="195" spans="1:3" ht="15.5">
      <c r="A195" s="179">
        <v>193</v>
      </c>
      <c r="B195" s="180" t="s">
        <v>761</v>
      </c>
      <c r="C195" s="181" t="s">
        <v>733</v>
      </c>
    </row>
    <row r="196" spans="1:3" ht="15.5">
      <c r="A196" s="179">
        <v>194</v>
      </c>
      <c r="B196" s="180" t="s">
        <v>761</v>
      </c>
      <c r="C196" s="181" t="s">
        <v>632</v>
      </c>
    </row>
    <row r="197" spans="1:3" ht="15.5">
      <c r="A197" s="179">
        <v>195</v>
      </c>
      <c r="B197" s="180" t="s">
        <v>761</v>
      </c>
      <c r="C197" s="181" t="s">
        <v>655</v>
      </c>
    </row>
    <row r="198" spans="1:3" ht="15.5">
      <c r="A198" s="179">
        <v>196</v>
      </c>
      <c r="B198" s="180" t="s">
        <v>761</v>
      </c>
      <c r="C198" s="181" t="s">
        <v>680</v>
      </c>
    </row>
  </sheetData>
  <mergeCells count="1">
    <mergeCell ref="A1:C1"/>
  </mergeCells>
  <phoneticPr fontId="31" type="noConversion"/>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3:G67"/>
  <sheetViews>
    <sheetView topLeftCell="A49" workbookViewId="0">
      <selection activeCell="A67" sqref="A67"/>
    </sheetView>
  </sheetViews>
  <sheetFormatPr defaultColWidth="9" defaultRowHeight="14"/>
  <cols>
    <col min="1" max="1" width="58.75"/>
    <col min="2" max="2" width="15.58203125"/>
    <col min="3" max="3" width="19.75"/>
    <col min="4" max="4" width="15.58203125"/>
  </cols>
  <sheetData>
    <row r="3" spans="1:7">
      <c r="A3" t="s">
        <v>588</v>
      </c>
      <c r="B3" t="s">
        <v>589</v>
      </c>
      <c r="C3" t="s">
        <v>590</v>
      </c>
      <c r="D3" t="s">
        <v>591</v>
      </c>
    </row>
    <row r="4" spans="1:7">
      <c r="A4" s="128" t="s">
        <v>475</v>
      </c>
      <c r="B4">
        <v>2</v>
      </c>
      <c r="C4">
        <v>30.15</v>
      </c>
      <c r="D4">
        <v>1999</v>
      </c>
      <c r="E4">
        <v>1999</v>
      </c>
      <c r="F4">
        <v>1999</v>
      </c>
      <c r="G4">
        <f>E4-F4</f>
        <v>0</v>
      </c>
    </row>
    <row r="5" spans="1:7">
      <c r="A5" s="128" t="s">
        <v>500</v>
      </c>
      <c r="B5">
        <v>2</v>
      </c>
      <c r="C5">
        <v>29.98</v>
      </c>
      <c r="D5">
        <v>1998</v>
      </c>
      <c r="E5">
        <v>1998</v>
      </c>
      <c r="F5">
        <v>1998</v>
      </c>
      <c r="G5">
        <f t="shared" ref="G5:G64" si="0">E5-F5</f>
        <v>0</v>
      </c>
    </row>
    <row r="6" spans="1:7">
      <c r="A6" s="128" t="s">
        <v>309</v>
      </c>
      <c r="B6">
        <v>4</v>
      </c>
      <c r="C6">
        <v>44.53</v>
      </c>
      <c r="D6">
        <v>2550</v>
      </c>
      <c r="E6">
        <v>2550</v>
      </c>
      <c r="F6">
        <v>2550</v>
      </c>
      <c r="G6">
        <f t="shared" si="0"/>
        <v>0</v>
      </c>
    </row>
    <row r="7" spans="1:7">
      <c r="A7" s="128" t="s">
        <v>325</v>
      </c>
      <c r="B7">
        <v>1</v>
      </c>
      <c r="C7">
        <v>1.4</v>
      </c>
      <c r="D7">
        <v>350</v>
      </c>
      <c r="E7">
        <v>350</v>
      </c>
      <c r="F7">
        <v>350</v>
      </c>
      <c r="G7">
        <f t="shared" si="0"/>
        <v>0</v>
      </c>
    </row>
    <row r="8" spans="1:7">
      <c r="A8" s="128" t="s">
        <v>231</v>
      </c>
      <c r="B8">
        <v>1</v>
      </c>
      <c r="C8">
        <v>3</v>
      </c>
      <c r="D8">
        <v>768</v>
      </c>
      <c r="E8">
        <v>768</v>
      </c>
      <c r="F8">
        <v>768</v>
      </c>
      <c r="G8">
        <f t="shared" si="0"/>
        <v>0</v>
      </c>
    </row>
    <row r="9" spans="1:7">
      <c r="A9" s="128" t="s">
        <v>486</v>
      </c>
      <c r="B9">
        <v>1</v>
      </c>
      <c r="C9">
        <v>40</v>
      </c>
      <c r="D9">
        <v>2000</v>
      </c>
      <c r="E9">
        <v>2000</v>
      </c>
      <c r="F9">
        <v>2000</v>
      </c>
      <c r="G9">
        <f t="shared" si="0"/>
        <v>0</v>
      </c>
    </row>
    <row r="10" spans="1:7">
      <c r="A10" s="128" t="s">
        <v>266</v>
      </c>
      <c r="B10">
        <v>2</v>
      </c>
      <c r="C10">
        <v>6.02</v>
      </c>
      <c r="D10">
        <v>601</v>
      </c>
      <c r="E10">
        <v>601</v>
      </c>
      <c r="F10">
        <v>601</v>
      </c>
      <c r="G10">
        <f t="shared" si="0"/>
        <v>0</v>
      </c>
    </row>
    <row r="11" spans="1:7">
      <c r="A11" s="128" t="s">
        <v>192</v>
      </c>
      <c r="B11">
        <v>1</v>
      </c>
      <c r="C11">
        <v>7.5</v>
      </c>
      <c r="D11">
        <v>500</v>
      </c>
      <c r="E11">
        <v>500</v>
      </c>
      <c r="F11">
        <v>500</v>
      </c>
      <c r="G11">
        <f t="shared" si="0"/>
        <v>0</v>
      </c>
    </row>
    <row r="12" spans="1:7">
      <c r="A12" s="128" t="s">
        <v>163</v>
      </c>
      <c r="B12">
        <v>1</v>
      </c>
      <c r="C12">
        <v>7.03</v>
      </c>
      <c r="D12">
        <v>1000</v>
      </c>
      <c r="E12">
        <v>1000</v>
      </c>
      <c r="F12">
        <v>1000</v>
      </c>
      <c r="G12">
        <f t="shared" si="0"/>
        <v>0</v>
      </c>
    </row>
    <row r="13" spans="1:7">
      <c r="A13" s="128" t="s">
        <v>389</v>
      </c>
      <c r="B13">
        <v>1</v>
      </c>
      <c r="C13">
        <v>3.74</v>
      </c>
      <c r="D13">
        <v>1000</v>
      </c>
      <c r="E13">
        <v>1000</v>
      </c>
      <c r="F13">
        <v>1000</v>
      </c>
      <c r="G13">
        <f t="shared" si="0"/>
        <v>0</v>
      </c>
    </row>
    <row r="14" spans="1:7">
      <c r="A14" s="128" t="s">
        <v>394</v>
      </c>
      <c r="B14">
        <v>1</v>
      </c>
      <c r="C14">
        <v>7.6</v>
      </c>
      <c r="D14">
        <v>1000</v>
      </c>
      <c r="E14">
        <v>1000</v>
      </c>
      <c r="F14">
        <v>1000</v>
      </c>
      <c r="G14">
        <f t="shared" si="0"/>
        <v>0</v>
      </c>
    </row>
    <row r="15" spans="1:7">
      <c r="A15" s="128" t="s">
        <v>98</v>
      </c>
      <c r="B15">
        <v>2</v>
      </c>
      <c r="C15">
        <v>13.71</v>
      </c>
      <c r="D15">
        <v>940</v>
      </c>
      <c r="E15">
        <v>940</v>
      </c>
      <c r="F15">
        <v>940</v>
      </c>
      <c r="G15">
        <f t="shared" si="0"/>
        <v>0</v>
      </c>
    </row>
    <row r="16" spans="1:7">
      <c r="A16" s="128" t="s">
        <v>88</v>
      </c>
      <c r="B16">
        <v>2</v>
      </c>
      <c r="C16">
        <v>15.36</v>
      </c>
      <c r="D16">
        <v>2000</v>
      </c>
      <c r="E16">
        <v>2000</v>
      </c>
      <c r="F16">
        <v>2000</v>
      </c>
      <c r="G16">
        <f t="shared" si="0"/>
        <v>0</v>
      </c>
    </row>
    <row r="17" spans="1:7">
      <c r="A17" s="128" t="s">
        <v>339</v>
      </c>
      <c r="B17">
        <v>2</v>
      </c>
      <c r="C17">
        <v>15.75</v>
      </c>
      <c r="D17">
        <v>1050</v>
      </c>
      <c r="E17">
        <v>1050</v>
      </c>
      <c r="F17">
        <v>1050</v>
      </c>
      <c r="G17">
        <f t="shared" si="0"/>
        <v>0</v>
      </c>
    </row>
    <row r="18" spans="1:7">
      <c r="A18" s="128" t="s">
        <v>355</v>
      </c>
      <c r="B18">
        <v>2</v>
      </c>
      <c r="C18">
        <v>1.96</v>
      </c>
      <c r="D18">
        <v>360</v>
      </c>
      <c r="E18">
        <v>360</v>
      </c>
      <c r="F18">
        <v>360</v>
      </c>
      <c r="G18">
        <f t="shared" si="0"/>
        <v>0</v>
      </c>
    </row>
    <row r="19" spans="1:7">
      <c r="A19" s="128" t="s">
        <v>31</v>
      </c>
      <c r="B19">
        <v>2</v>
      </c>
      <c r="C19">
        <v>2.11</v>
      </c>
      <c r="D19">
        <v>300</v>
      </c>
      <c r="E19">
        <v>300</v>
      </c>
      <c r="F19">
        <v>300</v>
      </c>
      <c r="G19">
        <f t="shared" si="0"/>
        <v>0</v>
      </c>
    </row>
    <row r="20" spans="1:7">
      <c r="A20" s="128" t="s">
        <v>521</v>
      </c>
      <c r="B20">
        <v>2</v>
      </c>
      <c r="C20">
        <v>36.9</v>
      </c>
      <c r="D20">
        <v>2000</v>
      </c>
      <c r="E20">
        <v>2000</v>
      </c>
      <c r="F20">
        <v>2000</v>
      </c>
      <c r="G20">
        <f t="shared" si="0"/>
        <v>0</v>
      </c>
    </row>
    <row r="21" spans="1:7">
      <c r="A21" s="128" t="s">
        <v>541</v>
      </c>
      <c r="B21">
        <v>1</v>
      </c>
      <c r="C21">
        <v>11.38</v>
      </c>
      <c r="D21">
        <v>1000</v>
      </c>
      <c r="E21">
        <v>1000</v>
      </c>
      <c r="F21">
        <v>1000</v>
      </c>
      <c r="G21">
        <f t="shared" si="0"/>
        <v>0</v>
      </c>
    </row>
    <row r="22" spans="1:7">
      <c r="A22" s="128" t="s">
        <v>282</v>
      </c>
      <c r="B22">
        <v>1</v>
      </c>
      <c r="C22">
        <v>2.67</v>
      </c>
      <c r="D22">
        <v>1000</v>
      </c>
      <c r="E22">
        <v>1000</v>
      </c>
      <c r="F22">
        <v>1000</v>
      </c>
      <c r="G22">
        <f t="shared" si="0"/>
        <v>0</v>
      </c>
    </row>
    <row r="23" spans="1:7">
      <c r="A23" s="128" t="s">
        <v>762</v>
      </c>
      <c r="B23">
        <v>3</v>
      </c>
      <c r="C23">
        <v>35.549999999999997</v>
      </c>
      <c r="D23">
        <v>2500</v>
      </c>
      <c r="E23">
        <v>2500</v>
      </c>
      <c r="F23">
        <v>2500</v>
      </c>
      <c r="G23">
        <f t="shared" si="0"/>
        <v>0</v>
      </c>
    </row>
    <row r="24" spans="1:7">
      <c r="A24" s="128" t="s">
        <v>464</v>
      </c>
      <c r="B24">
        <v>2</v>
      </c>
      <c r="C24">
        <v>47.88</v>
      </c>
      <c r="D24">
        <v>2800</v>
      </c>
      <c r="E24">
        <v>2800</v>
      </c>
      <c r="F24">
        <v>2800</v>
      </c>
      <c r="G24">
        <f t="shared" si="0"/>
        <v>0</v>
      </c>
    </row>
    <row r="25" spans="1:7">
      <c r="A25" s="128" t="s">
        <v>120</v>
      </c>
      <c r="B25">
        <v>1</v>
      </c>
      <c r="C25">
        <v>9.86</v>
      </c>
      <c r="D25">
        <v>1000</v>
      </c>
      <c r="E25">
        <v>1000</v>
      </c>
      <c r="F25">
        <v>1000</v>
      </c>
      <c r="G25">
        <f t="shared" si="0"/>
        <v>0</v>
      </c>
    </row>
    <row r="26" spans="1:7">
      <c r="A26" s="128" t="s">
        <v>275</v>
      </c>
      <c r="B26">
        <v>1</v>
      </c>
      <c r="C26">
        <v>3.95</v>
      </c>
      <c r="D26">
        <v>1000</v>
      </c>
      <c r="E26">
        <v>1000</v>
      </c>
      <c r="F26">
        <v>1000</v>
      </c>
      <c r="G26">
        <f t="shared" si="0"/>
        <v>0</v>
      </c>
    </row>
    <row r="27" spans="1:7">
      <c r="A27" s="128" t="s">
        <v>513</v>
      </c>
      <c r="B27">
        <v>2</v>
      </c>
      <c r="C27">
        <v>10.11</v>
      </c>
      <c r="D27">
        <v>2000</v>
      </c>
      <c r="E27">
        <v>2000</v>
      </c>
      <c r="F27">
        <v>2000</v>
      </c>
      <c r="G27">
        <f t="shared" si="0"/>
        <v>0</v>
      </c>
    </row>
    <row r="28" spans="1:7">
      <c r="A28" s="128" t="s">
        <v>179</v>
      </c>
      <c r="B28">
        <v>1</v>
      </c>
      <c r="C28">
        <v>6.17</v>
      </c>
      <c r="D28">
        <v>550</v>
      </c>
      <c r="E28">
        <v>550</v>
      </c>
      <c r="F28">
        <v>550</v>
      </c>
      <c r="G28">
        <f t="shared" si="0"/>
        <v>0</v>
      </c>
    </row>
    <row r="29" spans="1:7">
      <c r="A29" s="128" t="s">
        <v>51</v>
      </c>
      <c r="B29">
        <v>2</v>
      </c>
      <c r="C29">
        <v>23.06</v>
      </c>
      <c r="D29">
        <v>1600</v>
      </c>
      <c r="E29">
        <v>1600</v>
      </c>
      <c r="F29">
        <v>1600</v>
      </c>
      <c r="G29">
        <f t="shared" si="0"/>
        <v>0</v>
      </c>
    </row>
    <row r="30" spans="1:7">
      <c r="A30" s="128" t="s">
        <v>199</v>
      </c>
      <c r="B30">
        <v>1</v>
      </c>
      <c r="C30">
        <v>7.07</v>
      </c>
      <c r="D30">
        <v>1000</v>
      </c>
      <c r="E30">
        <v>1000</v>
      </c>
      <c r="F30">
        <v>1000</v>
      </c>
      <c r="G30">
        <f t="shared" si="0"/>
        <v>0</v>
      </c>
    </row>
    <row r="31" spans="1:7">
      <c r="A31" s="128" t="s">
        <v>362</v>
      </c>
      <c r="B31">
        <v>2</v>
      </c>
      <c r="C31">
        <v>15</v>
      </c>
      <c r="D31">
        <v>1000</v>
      </c>
      <c r="E31">
        <v>1000</v>
      </c>
      <c r="F31">
        <v>1000</v>
      </c>
      <c r="G31">
        <f t="shared" si="0"/>
        <v>0</v>
      </c>
    </row>
    <row r="32" spans="1:7">
      <c r="A32" s="128" t="s">
        <v>205</v>
      </c>
      <c r="B32">
        <v>5</v>
      </c>
      <c r="C32">
        <v>1.73</v>
      </c>
      <c r="D32">
        <v>600</v>
      </c>
      <c r="E32">
        <v>600</v>
      </c>
      <c r="F32">
        <v>600</v>
      </c>
      <c r="G32">
        <f t="shared" si="0"/>
        <v>0</v>
      </c>
    </row>
    <row r="33" spans="1:7">
      <c r="A33" s="128" t="s">
        <v>444</v>
      </c>
      <c r="B33">
        <v>2</v>
      </c>
      <c r="C33">
        <v>27.82</v>
      </c>
      <c r="D33">
        <v>2000</v>
      </c>
      <c r="E33">
        <v>2000</v>
      </c>
      <c r="F33">
        <v>2000</v>
      </c>
      <c r="G33">
        <f t="shared" si="0"/>
        <v>0</v>
      </c>
    </row>
    <row r="34" spans="1:7">
      <c r="A34" s="128" t="s">
        <v>256</v>
      </c>
      <c r="B34">
        <v>2</v>
      </c>
      <c r="C34">
        <v>12.03</v>
      </c>
      <c r="D34">
        <v>1000</v>
      </c>
      <c r="E34">
        <v>1000</v>
      </c>
      <c r="F34">
        <v>1000</v>
      </c>
      <c r="G34">
        <f t="shared" si="0"/>
        <v>0</v>
      </c>
    </row>
    <row r="35" spans="1:7">
      <c r="A35" s="128" t="s">
        <v>534</v>
      </c>
      <c r="B35">
        <v>1</v>
      </c>
      <c r="C35">
        <v>15</v>
      </c>
      <c r="D35">
        <v>1000</v>
      </c>
      <c r="E35">
        <v>1000</v>
      </c>
      <c r="F35">
        <v>1000</v>
      </c>
      <c r="G35">
        <f t="shared" si="0"/>
        <v>0</v>
      </c>
    </row>
    <row r="36" spans="1:7">
      <c r="A36" s="128" t="s">
        <v>454</v>
      </c>
      <c r="B36">
        <v>3</v>
      </c>
      <c r="C36">
        <v>23.03</v>
      </c>
      <c r="D36">
        <v>2500</v>
      </c>
      <c r="E36">
        <v>2500</v>
      </c>
      <c r="F36">
        <v>2500</v>
      </c>
      <c r="G36">
        <f t="shared" si="0"/>
        <v>0</v>
      </c>
    </row>
    <row r="37" spans="1:7">
      <c r="A37" s="128" t="s">
        <v>152</v>
      </c>
      <c r="B37">
        <v>1</v>
      </c>
      <c r="C37">
        <v>10.74</v>
      </c>
      <c r="D37">
        <v>2000</v>
      </c>
      <c r="E37">
        <v>2000</v>
      </c>
      <c r="F37">
        <v>2000</v>
      </c>
      <c r="G37">
        <f t="shared" si="0"/>
        <v>0</v>
      </c>
    </row>
    <row r="38" spans="1:7">
      <c r="A38" s="128" t="s">
        <v>426</v>
      </c>
      <c r="B38">
        <v>1</v>
      </c>
      <c r="C38">
        <v>2.14</v>
      </c>
      <c r="D38">
        <v>3000</v>
      </c>
      <c r="E38">
        <v>3000</v>
      </c>
      <c r="F38">
        <v>3000</v>
      </c>
      <c r="G38">
        <f t="shared" si="0"/>
        <v>0</v>
      </c>
    </row>
    <row r="39" spans="1:7">
      <c r="A39" s="128" t="s">
        <v>237</v>
      </c>
      <c r="B39">
        <v>1</v>
      </c>
      <c r="C39">
        <v>10.210000000000001</v>
      </c>
      <c r="D39">
        <v>700</v>
      </c>
      <c r="E39">
        <v>700</v>
      </c>
      <c r="F39">
        <v>700</v>
      </c>
      <c r="G39">
        <f t="shared" si="0"/>
        <v>0</v>
      </c>
    </row>
    <row r="40" spans="1:7">
      <c r="A40" s="128" t="s">
        <v>371</v>
      </c>
      <c r="B40">
        <v>1</v>
      </c>
      <c r="C40">
        <v>7.64</v>
      </c>
      <c r="D40">
        <v>1000</v>
      </c>
      <c r="E40">
        <v>1000</v>
      </c>
      <c r="F40">
        <v>1000</v>
      </c>
      <c r="G40">
        <f t="shared" si="0"/>
        <v>0</v>
      </c>
    </row>
    <row r="41" spans="1:7">
      <c r="A41" s="128" t="s">
        <v>400</v>
      </c>
      <c r="B41">
        <v>1</v>
      </c>
      <c r="C41">
        <v>1.36</v>
      </c>
      <c r="D41">
        <v>1000</v>
      </c>
      <c r="E41">
        <v>1000</v>
      </c>
      <c r="F41">
        <v>1000</v>
      </c>
      <c r="G41">
        <f t="shared" si="0"/>
        <v>0</v>
      </c>
    </row>
    <row r="42" spans="1:7">
      <c r="A42" s="128" t="s">
        <v>556</v>
      </c>
      <c r="B42">
        <v>2</v>
      </c>
      <c r="C42">
        <v>2.58</v>
      </c>
      <c r="D42">
        <v>2000</v>
      </c>
      <c r="E42">
        <v>2000</v>
      </c>
      <c r="F42">
        <v>2000</v>
      </c>
      <c r="G42">
        <f t="shared" si="0"/>
        <v>0</v>
      </c>
    </row>
    <row r="43" spans="1:7">
      <c r="A43" s="128" t="s">
        <v>244</v>
      </c>
      <c r="B43">
        <v>1</v>
      </c>
      <c r="C43">
        <v>0.64</v>
      </c>
      <c r="D43">
        <v>100</v>
      </c>
      <c r="E43">
        <v>100</v>
      </c>
      <c r="F43">
        <v>100</v>
      </c>
      <c r="G43">
        <f t="shared" si="0"/>
        <v>0</v>
      </c>
    </row>
    <row r="44" spans="1:7">
      <c r="A44" s="128" t="s">
        <v>223</v>
      </c>
      <c r="B44">
        <v>1</v>
      </c>
      <c r="C44">
        <v>6.25</v>
      </c>
      <c r="D44">
        <v>500</v>
      </c>
      <c r="E44">
        <v>500</v>
      </c>
      <c r="F44">
        <v>500</v>
      </c>
      <c r="G44">
        <f t="shared" si="0"/>
        <v>0</v>
      </c>
    </row>
    <row r="45" spans="1:7">
      <c r="A45" s="128" t="s">
        <v>548</v>
      </c>
      <c r="B45">
        <v>1</v>
      </c>
      <c r="C45">
        <v>9.16</v>
      </c>
      <c r="D45">
        <v>1000</v>
      </c>
      <c r="E45">
        <v>1000</v>
      </c>
      <c r="F45">
        <v>1000</v>
      </c>
      <c r="G45">
        <f t="shared" si="0"/>
        <v>0</v>
      </c>
    </row>
    <row r="46" spans="1:7">
      <c r="A46" s="128" t="s">
        <v>288</v>
      </c>
      <c r="B46">
        <v>1</v>
      </c>
      <c r="C46">
        <v>11.69</v>
      </c>
      <c r="D46">
        <v>800</v>
      </c>
      <c r="E46">
        <v>800</v>
      </c>
      <c r="F46">
        <v>800</v>
      </c>
      <c r="G46">
        <f t="shared" si="0"/>
        <v>0</v>
      </c>
    </row>
    <row r="47" spans="1:7">
      <c r="A47" s="128" t="s">
        <v>76</v>
      </c>
      <c r="B47">
        <v>2</v>
      </c>
      <c r="C47">
        <v>11.92</v>
      </c>
      <c r="D47">
        <v>2000</v>
      </c>
      <c r="E47">
        <v>2000</v>
      </c>
      <c r="F47">
        <v>2000</v>
      </c>
      <c r="G47">
        <f t="shared" si="0"/>
        <v>0</v>
      </c>
    </row>
    <row r="48" spans="1:7">
      <c r="A48" s="128" t="s">
        <v>331</v>
      </c>
      <c r="B48">
        <v>2</v>
      </c>
      <c r="C48">
        <v>0.68</v>
      </c>
      <c r="D48">
        <v>501</v>
      </c>
      <c r="E48">
        <v>501</v>
      </c>
      <c r="F48">
        <v>501</v>
      </c>
      <c r="G48">
        <f t="shared" si="0"/>
        <v>0</v>
      </c>
    </row>
    <row r="49" spans="1:7">
      <c r="A49" s="128" t="s">
        <v>435</v>
      </c>
      <c r="B49">
        <v>1</v>
      </c>
      <c r="C49">
        <v>60</v>
      </c>
      <c r="D49">
        <v>3000</v>
      </c>
      <c r="E49">
        <v>3000</v>
      </c>
      <c r="F49">
        <v>3000</v>
      </c>
      <c r="G49">
        <f t="shared" si="0"/>
        <v>0</v>
      </c>
    </row>
    <row r="50" spans="1:7">
      <c r="A50" s="128" t="s">
        <v>350</v>
      </c>
      <c r="B50">
        <v>1</v>
      </c>
      <c r="C50">
        <v>7.5</v>
      </c>
      <c r="D50">
        <v>500</v>
      </c>
      <c r="E50">
        <v>500</v>
      </c>
      <c r="F50">
        <v>500</v>
      </c>
      <c r="G50">
        <f t="shared" si="0"/>
        <v>0</v>
      </c>
    </row>
    <row r="51" spans="1:7">
      <c r="A51" s="128" t="s">
        <v>418</v>
      </c>
      <c r="B51">
        <v>1</v>
      </c>
      <c r="C51">
        <v>7.4</v>
      </c>
      <c r="D51">
        <v>500</v>
      </c>
      <c r="E51">
        <v>500</v>
      </c>
      <c r="F51">
        <v>500</v>
      </c>
      <c r="G51">
        <f t="shared" si="0"/>
        <v>0</v>
      </c>
    </row>
    <row r="52" spans="1:7">
      <c r="A52" s="128" t="s">
        <v>494</v>
      </c>
      <c r="B52">
        <v>1</v>
      </c>
      <c r="C52">
        <v>5.96</v>
      </c>
      <c r="D52">
        <v>500</v>
      </c>
      <c r="E52">
        <v>500</v>
      </c>
      <c r="F52">
        <v>500</v>
      </c>
      <c r="G52">
        <f t="shared" si="0"/>
        <v>0</v>
      </c>
    </row>
    <row r="53" spans="1:7">
      <c r="A53" s="128" t="s">
        <v>127</v>
      </c>
      <c r="B53">
        <v>4</v>
      </c>
      <c r="C53">
        <v>46.32</v>
      </c>
      <c r="D53">
        <v>2998</v>
      </c>
      <c r="E53">
        <v>2998</v>
      </c>
      <c r="F53">
        <v>2998</v>
      </c>
      <c r="G53">
        <f t="shared" si="0"/>
        <v>0</v>
      </c>
    </row>
    <row r="54" spans="1:7">
      <c r="A54" s="128" t="s">
        <v>185</v>
      </c>
      <c r="B54">
        <v>1</v>
      </c>
      <c r="C54">
        <v>5.0999999999999996</v>
      </c>
      <c r="D54">
        <v>500</v>
      </c>
      <c r="E54">
        <v>500</v>
      </c>
      <c r="F54">
        <v>500</v>
      </c>
      <c r="G54">
        <f t="shared" si="0"/>
        <v>0</v>
      </c>
    </row>
    <row r="55" spans="1:7">
      <c r="A55" s="128" t="s">
        <v>565</v>
      </c>
      <c r="B55">
        <v>1</v>
      </c>
      <c r="C55">
        <v>15</v>
      </c>
      <c r="D55">
        <v>1000</v>
      </c>
      <c r="E55">
        <v>1000</v>
      </c>
      <c r="F55">
        <v>1000</v>
      </c>
      <c r="G55">
        <f t="shared" si="0"/>
        <v>0</v>
      </c>
    </row>
    <row r="56" spans="1:7">
      <c r="A56" s="128" t="s">
        <v>529</v>
      </c>
      <c r="B56">
        <v>1</v>
      </c>
      <c r="C56">
        <v>40</v>
      </c>
      <c r="D56">
        <v>2000</v>
      </c>
      <c r="E56">
        <v>2000</v>
      </c>
      <c r="F56">
        <v>2000</v>
      </c>
      <c r="G56">
        <f t="shared" si="0"/>
        <v>0</v>
      </c>
    </row>
    <row r="57" spans="1:7">
      <c r="A57" s="128" t="s">
        <v>251</v>
      </c>
      <c r="B57">
        <v>1</v>
      </c>
      <c r="C57">
        <v>5.85</v>
      </c>
      <c r="D57">
        <v>400</v>
      </c>
      <c r="E57">
        <v>400</v>
      </c>
      <c r="F57">
        <v>400</v>
      </c>
      <c r="G57">
        <f t="shared" si="0"/>
        <v>0</v>
      </c>
    </row>
    <row r="58" spans="1:7">
      <c r="A58" s="128" t="s">
        <v>171</v>
      </c>
      <c r="B58">
        <v>1</v>
      </c>
      <c r="C58">
        <v>1.22</v>
      </c>
      <c r="D58">
        <v>450</v>
      </c>
      <c r="E58">
        <v>450</v>
      </c>
      <c r="F58">
        <v>450</v>
      </c>
      <c r="G58">
        <f t="shared" si="0"/>
        <v>0</v>
      </c>
    </row>
    <row r="59" spans="1:7">
      <c r="A59" s="128" t="s">
        <v>144</v>
      </c>
      <c r="B59">
        <v>1</v>
      </c>
      <c r="C59">
        <v>2.99</v>
      </c>
      <c r="D59">
        <v>300</v>
      </c>
      <c r="E59">
        <v>300</v>
      </c>
      <c r="F59">
        <v>300</v>
      </c>
      <c r="G59">
        <f t="shared" si="0"/>
        <v>0</v>
      </c>
    </row>
    <row r="60" spans="1:7">
      <c r="A60" s="128" t="s">
        <v>301</v>
      </c>
      <c r="B60">
        <v>1</v>
      </c>
      <c r="C60">
        <v>3.84</v>
      </c>
      <c r="D60">
        <v>500</v>
      </c>
      <c r="E60">
        <v>500</v>
      </c>
      <c r="F60">
        <v>500</v>
      </c>
      <c r="G60">
        <f t="shared" si="0"/>
        <v>0</v>
      </c>
    </row>
    <row r="61" spans="1:7">
      <c r="A61" s="128" t="s">
        <v>113</v>
      </c>
      <c r="B61">
        <v>1</v>
      </c>
      <c r="C61">
        <v>1.47</v>
      </c>
      <c r="D61">
        <v>700</v>
      </c>
      <c r="E61">
        <v>700</v>
      </c>
      <c r="F61">
        <v>700</v>
      </c>
      <c r="G61">
        <f t="shared" si="0"/>
        <v>0</v>
      </c>
    </row>
    <row r="62" spans="1:7">
      <c r="A62" s="128" t="s">
        <v>67</v>
      </c>
      <c r="B62">
        <v>1</v>
      </c>
      <c r="C62">
        <v>7.6</v>
      </c>
      <c r="D62">
        <v>1000</v>
      </c>
      <c r="E62">
        <v>1000</v>
      </c>
      <c r="F62">
        <v>1000</v>
      </c>
      <c r="G62">
        <f t="shared" si="0"/>
        <v>0</v>
      </c>
    </row>
    <row r="63" spans="1:7">
      <c r="A63" s="128" t="s">
        <v>407</v>
      </c>
      <c r="B63">
        <v>2</v>
      </c>
      <c r="C63">
        <v>12.75</v>
      </c>
      <c r="D63">
        <v>950</v>
      </c>
      <c r="E63">
        <v>950</v>
      </c>
      <c r="F63">
        <v>950</v>
      </c>
      <c r="G63">
        <f t="shared" si="0"/>
        <v>0</v>
      </c>
    </row>
    <row r="64" spans="1:7">
      <c r="A64" s="128" t="s">
        <v>573</v>
      </c>
      <c r="B64">
        <v>1</v>
      </c>
      <c r="C64">
        <v>2.5099999999999998</v>
      </c>
      <c r="D64">
        <v>1000</v>
      </c>
      <c r="E64">
        <v>1000</v>
      </c>
      <c r="F64">
        <v>1000</v>
      </c>
      <c r="G64">
        <f t="shared" si="0"/>
        <v>0</v>
      </c>
    </row>
    <row r="65" spans="1:4">
      <c r="A65" s="128" t="s">
        <v>763</v>
      </c>
    </row>
    <row r="66" spans="1:4">
      <c r="A66" s="128" t="s">
        <v>593</v>
      </c>
      <c r="B66">
        <v>94</v>
      </c>
      <c r="C66">
        <v>819.57</v>
      </c>
      <c r="D66">
        <v>73865</v>
      </c>
    </row>
    <row r="67" spans="1:4">
      <c r="D67">
        <f>GETPIVOTDATA("求和项:贷款金额",高新审计汇总透视表!$A$3)-GETPIVOTDATA("求和项:贷款金额",高新申报数据透视!$A$3)</f>
        <v>2000</v>
      </c>
    </row>
  </sheetData>
  <phoneticPr fontId="31"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208"/>
  <sheetViews>
    <sheetView workbookViewId="0">
      <selection activeCell="I8" sqref="I8"/>
    </sheetView>
  </sheetViews>
  <sheetFormatPr defaultColWidth="9" defaultRowHeight="14"/>
  <cols>
    <col min="10" max="10" width="12.83203125"/>
    <col min="11" max="11" width="17.58203125"/>
  </cols>
  <sheetData>
    <row r="1" spans="1:11" ht="28">
      <c r="A1" s="129" t="s">
        <v>1</v>
      </c>
      <c r="B1" s="130" t="s">
        <v>764</v>
      </c>
      <c r="C1" s="130" t="s">
        <v>765</v>
      </c>
      <c r="D1" s="130" t="s">
        <v>766</v>
      </c>
      <c r="E1" s="130" t="s">
        <v>767</v>
      </c>
      <c r="F1" s="130" t="s">
        <v>768</v>
      </c>
      <c r="G1" s="130" t="s">
        <v>769</v>
      </c>
      <c r="J1" t="s">
        <v>588</v>
      </c>
      <c r="K1" t="s">
        <v>770</v>
      </c>
    </row>
    <row r="2" spans="1:11">
      <c r="A2" s="131">
        <v>1</v>
      </c>
      <c r="B2" s="132" t="s">
        <v>289</v>
      </c>
      <c r="C2" s="132" t="s">
        <v>31</v>
      </c>
      <c r="D2" s="132">
        <v>2</v>
      </c>
      <c r="E2" s="132" t="s">
        <v>771</v>
      </c>
      <c r="F2" s="132" t="s">
        <v>772</v>
      </c>
      <c r="G2" s="132" t="s">
        <v>61</v>
      </c>
      <c r="J2" s="128" t="s">
        <v>289</v>
      </c>
      <c r="K2">
        <v>98</v>
      </c>
    </row>
    <row r="3" spans="1:11">
      <c r="A3" s="131">
        <v>2</v>
      </c>
      <c r="B3" s="132" t="s">
        <v>289</v>
      </c>
      <c r="C3" s="132" t="s">
        <v>51</v>
      </c>
      <c r="D3" s="132">
        <v>2</v>
      </c>
      <c r="E3" s="132" t="s">
        <v>771</v>
      </c>
      <c r="F3" s="132"/>
      <c r="G3" s="132" t="s">
        <v>61</v>
      </c>
      <c r="J3" s="128" t="s">
        <v>741</v>
      </c>
    </row>
    <row r="4" spans="1:11">
      <c r="A4" s="131">
        <v>3</v>
      </c>
      <c r="B4" s="132" t="s">
        <v>289</v>
      </c>
      <c r="C4" s="132" t="s">
        <v>67</v>
      </c>
      <c r="D4" s="132">
        <v>1</v>
      </c>
      <c r="E4" s="132" t="s">
        <v>771</v>
      </c>
      <c r="F4" s="132"/>
      <c r="G4" s="132" t="s">
        <v>61</v>
      </c>
      <c r="J4" s="128" t="s">
        <v>742</v>
      </c>
    </row>
    <row r="5" spans="1:11">
      <c r="A5" s="131">
        <v>4</v>
      </c>
      <c r="B5" s="132" t="s">
        <v>289</v>
      </c>
      <c r="C5" s="132" t="s">
        <v>76</v>
      </c>
      <c r="D5" s="132">
        <v>2</v>
      </c>
      <c r="E5" s="132" t="s">
        <v>771</v>
      </c>
      <c r="F5" s="132"/>
      <c r="G5" s="132" t="s">
        <v>61</v>
      </c>
      <c r="J5" s="128" t="s">
        <v>743</v>
      </c>
      <c r="K5">
        <v>4</v>
      </c>
    </row>
    <row r="6" spans="1:11">
      <c r="A6" s="131">
        <v>5</v>
      </c>
      <c r="B6" s="132" t="s">
        <v>289</v>
      </c>
      <c r="C6" s="132" t="s">
        <v>88</v>
      </c>
      <c r="D6" s="132">
        <v>2</v>
      </c>
      <c r="E6" s="132" t="s">
        <v>771</v>
      </c>
      <c r="F6" s="132"/>
      <c r="G6" s="132" t="s">
        <v>61</v>
      </c>
      <c r="J6" s="128" t="s">
        <v>744</v>
      </c>
      <c r="K6">
        <v>8</v>
      </c>
    </row>
    <row r="7" spans="1:11">
      <c r="A7" s="131">
        <v>6</v>
      </c>
      <c r="B7" s="132" t="s">
        <v>289</v>
      </c>
      <c r="C7" s="132" t="s">
        <v>98</v>
      </c>
      <c r="D7" s="132">
        <v>2</v>
      </c>
      <c r="E7" s="132" t="s">
        <v>771</v>
      </c>
      <c r="F7" s="132" t="s">
        <v>773</v>
      </c>
      <c r="G7" s="132" t="s">
        <v>61</v>
      </c>
      <c r="J7" s="128" t="s">
        <v>745</v>
      </c>
      <c r="K7">
        <v>2</v>
      </c>
    </row>
    <row r="8" spans="1:11">
      <c r="A8" s="131">
        <v>7</v>
      </c>
      <c r="B8" s="132" t="s">
        <v>289</v>
      </c>
      <c r="C8" s="132" t="s">
        <v>113</v>
      </c>
      <c r="D8" s="132">
        <v>1</v>
      </c>
      <c r="E8" s="132" t="s">
        <v>771</v>
      </c>
      <c r="F8" s="132"/>
      <c r="G8" s="132" t="s">
        <v>61</v>
      </c>
      <c r="J8" s="128" t="s">
        <v>746</v>
      </c>
      <c r="K8">
        <v>11</v>
      </c>
    </row>
    <row r="9" spans="1:11">
      <c r="A9" s="131">
        <v>8</v>
      </c>
      <c r="B9" s="132" t="s">
        <v>289</v>
      </c>
      <c r="C9" s="132" t="s">
        <v>120</v>
      </c>
      <c r="D9" s="132">
        <v>1</v>
      </c>
      <c r="E9" s="132" t="s">
        <v>771</v>
      </c>
      <c r="F9" s="132"/>
      <c r="G9" s="132" t="s">
        <v>61</v>
      </c>
      <c r="J9" s="128" t="s">
        <v>747</v>
      </c>
    </row>
    <row r="10" spans="1:11">
      <c r="A10" s="131">
        <v>9</v>
      </c>
      <c r="B10" s="132" t="s">
        <v>289</v>
      </c>
      <c r="C10" s="132" t="s">
        <v>127</v>
      </c>
      <c r="D10" s="132">
        <v>4</v>
      </c>
      <c r="E10" s="132" t="s">
        <v>771</v>
      </c>
      <c r="F10" s="132"/>
      <c r="G10" s="132" t="s">
        <v>61</v>
      </c>
      <c r="J10" s="128" t="s">
        <v>748</v>
      </c>
      <c r="K10">
        <v>5</v>
      </c>
    </row>
    <row r="11" spans="1:11">
      <c r="A11" s="131">
        <v>10</v>
      </c>
      <c r="B11" s="132" t="s">
        <v>289</v>
      </c>
      <c r="C11" s="132" t="s">
        <v>144</v>
      </c>
      <c r="D11" s="132">
        <v>1</v>
      </c>
      <c r="E11" s="132" t="s">
        <v>771</v>
      </c>
      <c r="F11" s="132"/>
      <c r="G11" s="132" t="s">
        <v>61</v>
      </c>
      <c r="J11" s="128" t="s">
        <v>749</v>
      </c>
      <c r="K11">
        <v>17</v>
      </c>
    </row>
    <row r="12" spans="1:11">
      <c r="A12" s="131">
        <v>11</v>
      </c>
      <c r="B12" s="132" t="s">
        <v>289</v>
      </c>
      <c r="C12" s="132" t="s">
        <v>152</v>
      </c>
      <c r="D12" s="132">
        <v>1</v>
      </c>
      <c r="E12" s="132" t="s">
        <v>771</v>
      </c>
      <c r="F12" s="132"/>
      <c r="G12" s="132" t="s">
        <v>61</v>
      </c>
      <c r="J12" s="128" t="s">
        <v>750</v>
      </c>
      <c r="K12">
        <v>5</v>
      </c>
    </row>
    <row r="13" spans="1:11">
      <c r="A13" s="131">
        <v>12</v>
      </c>
      <c r="B13" s="132" t="s">
        <v>289</v>
      </c>
      <c r="C13" s="132" t="s">
        <v>163</v>
      </c>
      <c r="D13" s="132">
        <v>1</v>
      </c>
      <c r="E13" s="132" t="s">
        <v>771</v>
      </c>
      <c r="F13" s="132"/>
      <c r="G13" s="132" t="s">
        <v>61</v>
      </c>
      <c r="J13" s="128" t="s">
        <v>751</v>
      </c>
      <c r="K13">
        <v>27</v>
      </c>
    </row>
    <row r="14" spans="1:11">
      <c r="A14" s="131">
        <v>13</v>
      </c>
      <c r="B14" s="132" t="s">
        <v>289</v>
      </c>
      <c r="C14" s="132" t="s">
        <v>171</v>
      </c>
      <c r="D14" s="132">
        <v>1</v>
      </c>
      <c r="E14" s="132" t="s">
        <v>771</v>
      </c>
      <c r="F14" s="132"/>
      <c r="G14" s="132" t="s">
        <v>61</v>
      </c>
      <c r="J14" s="128" t="s">
        <v>752</v>
      </c>
      <c r="K14">
        <v>3</v>
      </c>
    </row>
    <row r="15" spans="1:11">
      <c r="A15" s="131">
        <v>14</v>
      </c>
      <c r="B15" s="132" t="s">
        <v>289</v>
      </c>
      <c r="C15" s="132" t="s">
        <v>179</v>
      </c>
      <c r="D15" s="132">
        <v>1</v>
      </c>
      <c r="E15" s="132" t="s">
        <v>771</v>
      </c>
      <c r="F15" s="132"/>
      <c r="G15" s="132" t="s">
        <v>61</v>
      </c>
      <c r="J15" s="128" t="s">
        <v>753</v>
      </c>
    </row>
    <row r="16" spans="1:11">
      <c r="A16" s="131">
        <v>15</v>
      </c>
      <c r="B16" s="132" t="s">
        <v>289</v>
      </c>
      <c r="C16" s="132" t="s">
        <v>185</v>
      </c>
      <c r="D16" s="132">
        <v>1</v>
      </c>
      <c r="E16" s="132" t="s">
        <v>771</v>
      </c>
      <c r="F16" s="132"/>
      <c r="G16" s="132" t="s">
        <v>61</v>
      </c>
      <c r="J16" s="128" t="s">
        <v>754</v>
      </c>
      <c r="K16">
        <v>8</v>
      </c>
    </row>
    <row r="17" spans="1:11">
      <c r="A17" s="131">
        <v>16</v>
      </c>
      <c r="B17" s="132" t="s">
        <v>289</v>
      </c>
      <c r="C17" s="132" t="s">
        <v>192</v>
      </c>
      <c r="D17" s="132">
        <v>1</v>
      </c>
      <c r="E17" s="132" t="s">
        <v>771</v>
      </c>
      <c r="F17" s="132"/>
      <c r="G17" s="132" t="s">
        <v>61</v>
      </c>
      <c r="J17" s="128" t="s">
        <v>755</v>
      </c>
      <c r="K17">
        <v>6</v>
      </c>
    </row>
    <row r="18" spans="1:11">
      <c r="A18" s="131">
        <v>17</v>
      </c>
      <c r="B18" s="132" t="s">
        <v>289</v>
      </c>
      <c r="C18" s="132" t="s">
        <v>199</v>
      </c>
      <c r="D18" s="132">
        <v>1</v>
      </c>
      <c r="E18" s="132" t="s">
        <v>771</v>
      </c>
      <c r="F18" s="132"/>
      <c r="G18" s="132" t="s">
        <v>61</v>
      </c>
      <c r="J18" s="128" t="s">
        <v>756</v>
      </c>
    </row>
    <row r="19" spans="1:11">
      <c r="A19" s="131">
        <v>18</v>
      </c>
      <c r="B19" s="132" t="s">
        <v>289</v>
      </c>
      <c r="C19" s="132" t="s">
        <v>205</v>
      </c>
      <c r="D19" s="132">
        <v>5</v>
      </c>
      <c r="E19" s="132" t="s">
        <v>771</v>
      </c>
      <c r="F19" s="132"/>
      <c r="G19" s="132" t="s">
        <v>61</v>
      </c>
      <c r="J19" s="128" t="s">
        <v>757</v>
      </c>
      <c r="K19">
        <v>7</v>
      </c>
    </row>
    <row r="20" spans="1:11">
      <c r="A20" s="131">
        <v>19</v>
      </c>
      <c r="B20" s="132" t="s">
        <v>289</v>
      </c>
      <c r="C20" s="132" t="s">
        <v>223</v>
      </c>
      <c r="D20" s="132">
        <v>1</v>
      </c>
      <c r="E20" s="132" t="s">
        <v>771</v>
      </c>
      <c r="F20" s="132"/>
      <c r="G20" s="132" t="s">
        <v>61</v>
      </c>
      <c r="J20" s="128" t="s">
        <v>758</v>
      </c>
      <c r="K20">
        <v>8</v>
      </c>
    </row>
    <row r="21" spans="1:11">
      <c r="A21" s="131">
        <v>20</v>
      </c>
      <c r="B21" s="132" t="s">
        <v>289</v>
      </c>
      <c r="C21" s="132" t="s">
        <v>231</v>
      </c>
      <c r="D21" s="132">
        <v>1</v>
      </c>
      <c r="E21" s="132" t="s">
        <v>771</v>
      </c>
      <c r="F21" s="132" t="s">
        <v>774</v>
      </c>
      <c r="G21" s="132" t="s">
        <v>61</v>
      </c>
      <c r="J21" s="128" t="s">
        <v>759</v>
      </c>
      <c r="K21">
        <v>16</v>
      </c>
    </row>
    <row r="22" spans="1:11">
      <c r="A22" s="131">
        <v>21</v>
      </c>
      <c r="B22" s="132" t="s">
        <v>289</v>
      </c>
      <c r="C22" s="132" t="s">
        <v>237</v>
      </c>
      <c r="D22" s="132">
        <v>1</v>
      </c>
      <c r="E22" s="132" t="s">
        <v>771</v>
      </c>
      <c r="F22" s="132"/>
      <c r="G22" s="132" t="s">
        <v>61</v>
      </c>
      <c r="J22" s="128" t="s">
        <v>760</v>
      </c>
      <c r="K22">
        <v>26</v>
      </c>
    </row>
    <row r="23" spans="1:11">
      <c r="A23" s="131">
        <v>22</v>
      </c>
      <c r="B23" s="132" t="s">
        <v>289</v>
      </c>
      <c r="C23" s="132" t="s">
        <v>244</v>
      </c>
      <c r="D23" s="132">
        <v>1</v>
      </c>
      <c r="E23" s="132" t="s">
        <v>771</v>
      </c>
      <c r="F23" s="132"/>
      <c r="G23" s="132" t="s">
        <v>61</v>
      </c>
      <c r="J23" s="128" t="s">
        <v>761</v>
      </c>
      <c r="K23">
        <v>8</v>
      </c>
    </row>
    <row r="24" spans="1:11">
      <c r="A24" s="131">
        <v>23</v>
      </c>
      <c r="B24" s="132" t="s">
        <v>289</v>
      </c>
      <c r="C24" s="132" t="s">
        <v>251</v>
      </c>
      <c r="D24" s="132">
        <v>1</v>
      </c>
      <c r="E24" s="132" t="s">
        <v>771</v>
      </c>
      <c r="F24" s="132"/>
      <c r="G24" s="132" t="s">
        <v>61</v>
      </c>
      <c r="J24" s="128" t="s">
        <v>593</v>
      </c>
      <c r="K24">
        <v>259</v>
      </c>
    </row>
    <row r="25" spans="1:11">
      <c r="A25" s="131">
        <v>24</v>
      </c>
      <c r="B25" s="132" t="s">
        <v>289</v>
      </c>
      <c r="C25" s="132" t="s">
        <v>256</v>
      </c>
      <c r="D25" s="132">
        <v>2</v>
      </c>
      <c r="E25" s="132" t="s">
        <v>771</v>
      </c>
      <c r="F25" s="132"/>
      <c r="G25" s="132" t="s">
        <v>61</v>
      </c>
    </row>
    <row r="26" spans="1:11">
      <c r="A26" s="131">
        <v>25</v>
      </c>
      <c r="B26" s="132" t="s">
        <v>289</v>
      </c>
      <c r="C26" s="132" t="s">
        <v>266</v>
      </c>
      <c r="D26" s="132">
        <v>2</v>
      </c>
      <c r="E26" s="132" t="s">
        <v>771</v>
      </c>
      <c r="F26" s="132"/>
      <c r="G26" s="132" t="s">
        <v>61</v>
      </c>
    </row>
    <row r="27" spans="1:11">
      <c r="A27" s="131">
        <v>26</v>
      </c>
      <c r="B27" s="132" t="s">
        <v>289</v>
      </c>
      <c r="C27" s="132" t="s">
        <v>275</v>
      </c>
      <c r="D27" s="132">
        <v>1</v>
      </c>
      <c r="E27" s="132" t="s">
        <v>771</v>
      </c>
      <c r="F27" s="132"/>
      <c r="G27" s="132" t="s">
        <v>61</v>
      </c>
    </row>
    <row r="28" spans="1:11">
      <c r="A28" s="131">
        <v>27</v>
      </c>
      <c r="B28" s="132" t="s">
        <v>289</v>
      </c>
      <c r="C28" s="132" t="s">
        <v>282</v>
      </c>
      <c r="D28" s="132">
        <v>1</v>
      </c>
      <c r="E28" s="132" t="s">
        <v>771</v>
      </c>
      <c r="F28" s="132"/>
      <c r="G28" s="132" t="s">
        <v>61</v>
      </c>
    </row>
    <row r="29" spans="1:11">
      <c r="A29" s="131">
        <v>28</v>
      </c>
      <c r="B29" s="132" t="s">
        <v>289</v>
      </c>
      <c r="C29" s="132" t="s">
        <v>288</v>
      </c>
      <c r="D29" s="132">
        <v>1</v>
      </c>
      <c r="E29" s="132" t="s">
        <v>771</v>
      </c>
      <c r="F29" s="132"/>
      <c r="G29" s="132" t="s">
        <v>61</v>
      </c>
    </row>
    <row r="30" spans="1:11">
      <c r="A30" s="131">
        <v>29</v>
      </c>
      <c r="B30" s="132" t="s">
        <v>289</v>
      </c>
      <c r="C30" s="132" t="s">
        <v>301</v>
      </c>
      <c r="D30" s="132">
        <v>7</v>
      </c>
      <c r="E30" s="132" t="s">
        <v>771</v>
      </c>
      <c r="F30" s="132"/>
      <c r="G30" s="132" t="s">
        <v>61</v>
      </c>
    </row>
    <row r="31" spans="1:11">
      <c r="A31" s="131">
        <v>30</v>
      </c>
      <c r="B31" s="132" t="s">
        <v>289</v>
      </c>
      <c r="C31" s="132" t="s">
        <v>309</v>
      </c>
      <c r="D31" s="132">
        <v>4</v>
      </c>
      <c r="E31" s="132" t="s">
        <v>771</v>
      </c>
      <c r="F31" s="132"/>
      <c r="G31" s="132" t="s">
        <v>61</v>
      </c>
    </row>
    <row r="32" spans="1:11">
      <c r="A32" s="131">
        <v>31</v>
      </c>
      <c r="B32" s="132" t="s">
        <v>289</v>
      </c>
      <c r="C32" s="132" t="s">
        <v>325</v>
      </c>
      <c r="D32" s="132">
        <v>1</v>
      </c>
      <c r="E32" s="132" t="s">
        <v>771</v>
      </c>
      <c r="F32" s="132"/>
      <c r="G32" s="132" t="s">
        <v>61</v>
      </c>
    </row>
    <row r="33" spans="1:7">
      <c r="A33" s="131">
        <v>32</v>
      </c>
      <c r="B33" s="132" t="s">
        <v>289</v>
      </c>
      <c r="C33" s="132" t="s">
        <v>331</v>
      </c>
      <c r="D33" s="132">
        <v>2</v>
      </c>
      <c r="E33" s="132" t="s">
        <v>771</v>
      </c>
      <c r="F33" s="132"/>
      <c r="G33" s="132" t="s">
        <v>61</v>
      </c>
    </row>
    <row r="34" spans="1:7">
      <c r="A34" s="131">
        <v>33</v>
      </c>
      <c r="B34" s="132" t="s">
        <v>289</v>
      </c>
      <c r="C34" s="132" t="s">
        <v>339</v>
      </c>
      <c r="D34" s="132">
        <v>2</v>
      </c>
      <c r="E34" s="132" t="s">
        <v>771</v>
      </c>
      <c r="F34" s="132"/>
      <c r="G34" s="132" t="s">
        <v>61</v>
      </c>
    </row>
    <row r="35" spans="1:7">
      <c r="A35" s="131">
        <v>34</v>
      </c>
      <c r="B35" s="132" t="s">
        <v>289</v>
      </c>
      <c r="C35" s="132" t="s">
        <v>350</v>
      </c>
      <c r="D35" s="132">
        <v>1</v>
      </c>
      <c r="E35" s="132" t="s">
        <v>771</v>
      </c>
      <c r="F35" s="132"/>
      <c r="G35" s="132" t="s">
        <v>61</v>
      </c>
    </row>
    <row r="36" spans="1:7">
      <c r="A36" s="131">
        <v>35</v>
      </c>
      <c r="B36" s="132" t="s">
        <v>289</v>
      </c>
      <c r="C36" s="132" t="s">
        <v>355</v>
      </c>
      <c r="D36" s="132">
        <v>2</v>
      </c>
      <c r="E36" s="132" t="s">
        <v>771</v>
      </c>
      <c r="F36" s="132"/>
      <c r="G36" s="132" t="s">
        <v>61</v>
      </c>
    </row>
    <row r="37" spans="1:7">
      <c r="A37" s="131">
        <v>36</v>
      </c>
      <c r="B37" s="132" t="s">
        <v>289</v>
      </c>
      <c r="C37" s="132" t="s">
        <v>362</v>
      </c>
      <c r="D37" s="132">
        <v>1</v>
      </c>
      <c r="E37" s="132" t="s">
        <v>771</v>
      </c>
      <c r="F37" s="132"/>
      <c r="G37" s="132" t="s">
        <v>61</v>
      </c>
    </row>
    <row r="38" spans="1:7">
      <c r="A38" s="131">
        <v>37</v>
      </c>
      <c r="B38" s="132" t="s">
        <v>289</v>
      </c>
      <c r="C38" s="132" t="s">
        <v>371</v>
      </c>
      <c r="D38" s="132">
        <v>1</v>
      </c>
      <c r="E38" s="132" t="s">
        <v>771</v>
      </c>
      <c r="F38" s="132"/>
      <c r="G38" s="132" t="s">
        <v>61</v>
      </c>
    </row>
    <row r="39" spans="1:7">
      <c r="A39" s="131">
        <v>38</v>
      </c>
      <c r="B39" s="132" t="s">
        <v>289</v>
      </c>
      <c r="C39" s="132" t="s">
        <v>639</v>
      </c>
      <c r="D39" s="132">
        <v>2</v>
      </c>
      <c r="E39" s="132" t="s">
        <v>771</v>
      </c>
      <c r="F39" s="132"/>
      <c r="G39" s="132" t="s">
        <v>61</v>
      </c>
    </row>
    <row r="40" spans="1:7">
      <c r="A40" s="131">
        <v>39</v>
      </c>
      <c r="B40" s="132" t="s">
        <v>289</v>
      </c>
      <c r="C40" s="132" t="s">
        <v>389</v>
      </c>
      <c r="D40" s="132">
        <v>1</v>
      </c>
      <c r="E40" s="132" t="s">
        <v>771</v>
      </c>
      <c r="F40" s="132"/>
      <c r="G40" s="132" t="s">
        <v>61</v>
      </c>
    </row>
    <row r="41" spans="1:7">
      <c r="A41" s="131">
        <v>40</v>
      </c>
      <c r="B41" s="132" t="s">
        <v>289</v>
      </c>
      <c r="C41" s="132" t="s">
        <v>394</v>
      </c>
      <c r="D41" s="132">
        <v>1</v>
      </c>
      <c r="E41" s="132" t="s">
        <v>771</v>
      </c>
      <c r="F41" s="132"/>
      <c r="G41" s="132" t="s">
        <v>61</v>
      </c>
    </row>
    <row r="42" spans="1:7">
      <c r="A42" s="131">
        <v>41</v>
      </c>
      <c r="B42" s="132" t="s">
        <v>289</v>
      </c>
      <c r="C42" s="132" t="s">
        <v>400</v>
      </c>
      <c r="D42" s="132">
        <v>1</v>
      </c>
      <c r="E42" s="132" t="s">
        <v>771</v>
      </c>
      <c r="F42" s="132"/>
      <c r="G42" s="132" t="s">
        <v>61</v>
      </c>
    </row>
    <row r="43" spans="1:7">
      <c r="A43" s="131">
        <v>42</v>
      </c>
      <c r="B43" s="132" t="s">
        <v>289</v>
      </c>
      <c r="C43" s="132" t="s">
        <v>407</v>
      </c>
      <c r="D43" s="132">
        <v>2</v>
      </c>
      <c r="E43" s="132" t="s">
        <v>771</v>
      </c>
      <c r="F43" s="132"/>
      <c r="G43" s="132" t="s">
        <v>61</v>
      </c>
    </row>
    <row r="44" spans="1:7">
      <c r="A44" s="131">
        <v>43</v>
      </c>
      <c r="B44" s="132" t="s">
        <v>289</v>
      </c>
      <c r="C44" s="132" t="s">
        <v>418</v>
      </c>
      <c r="D44" s="132">
        <v>1</v>
      </c>
      <c r="E44" s="132" t="s">
        <v>771</v>
      </c>
      <c r="F44" s="132"/>
      <c r="G44" s="132" t="s">
        <v>61</v>
      </c>
    </row>
    <row r="45" spans="1:7">
      <c r="A45" s="131">
        <v>44</v>
      </c>
      <c r="B45" s="132" t="s">
        <v>289</v>
      </c>
      <c r="C45" s="132" t="s">
        <v>426</v>
      </c>
      <c r="D45" s="132">
        <v>1</v>
      </c>
      <c r="E45" s="132" t="s">
        <v>771</v>
      </c>
      <c r="F45" s="132"/>
      <c r="G45" s="132" t="s">
        <v>61</v>
      </c>
    </row>
    <row r="46" spans="1:7">
      <c r="A46" s="131">
        <v>45</v>
      </c>
      <c r="B46" s="132" t="s">
        <v>289</v>
      </c>
      <c r="C46" s="132" t="s">
        <v>435</v>
      </c>
      <c r="D46" s="132">
        <v>1</v>
      </c>
      <c r="E46" s="132" t="s">
        <v>771</v>
      </c>
      <c r="F46" s="132"/>
      <c r="G46" s="132" t="s">
        <v>61</v>
      </c>
    </row>
    <row r="47" spans="1:7">
      <c r="A47" s="131">
        <v>46</v>
      </c>
      <c r="B47" s="132" t="s">
        <v>289</v>
      </c>
      <c r="C47" s="132" t="s">
        <v>444</v>
      </c>
      <c r="D47" s="132">
        <v>2</v>
      </c>
      <c r="E47" s="132" t="s">
        <v>771</v>
      </c>
      <c r="F47" s="132"/>
      <c r="G47" s="132" t="s">
        <v>61</v>
      </c>
    </row>
    <row r="48" spans="1:7">
      <c r="A48" s="131">
        <v>47</v>
      </c>
      <c r="B48" s="132" t="s">
        <v>289</v>
      </c>
      <c r="C48" s="132" t="s">
        <v>454</v>
      </c>
      <c r="D48" s="132">
        <v>3</v>
      </c>
      <c r="E48" s="132" t="s">
        <v>771</v>
      </c>
      <c r="F48" s="132"/>
      <c r="G48" s="132" t="s">
        <v>61</v>
      </c>
    </row>
    <row r="49" spans="1:7">
      <c r="A49" s="131">
        <v>48</v>
      </c>
      <c r="B49" s="132" t="s">
        <v>289</v>
      </c>
      <c r="C49" s="132" t="s">
        <v>464</v>
      </c>
      <c r="D49" s="132">
        <v>2</v>
      </c>
      <c r="E49" s="132" t="s">
        <v>771</v>
      </c>
      <c r="F49" s="132"/>
      <c r="G49" s="132" t="s">
        <v>61</v>
      </c>
    </row>
    <row r="50" spans="1:7">
      <c r="A50" s="131">
        <v>49</v>
      </c>
      <c r="B50" s="132" t="s">
        <v>289</v>
      </c>
      <c r="C50" s="132" t="s">
        <v>475</v>
      </c>
      <c r="D50" s="132">
        <v>2</v>
      </c>
      <c r="E50" s="132" t="s">
        <v>771</v>
      </c>
      <c r="F50" s="132"/>
      <c r="G50" s="132" t="s">
        <v>61</v>
      </c>
    </row>
    <row r="51" spans="1:7">
      <c r="A51" s="131">
        <v>50</v>
      </c>
      <c r="B51" s="132" t="s">
        <v>289</v>
      </c>
      <c r="C51" s="132" t="s">
        <v>486</v>
      </c>
      <c r="D51" s="132">
        <v>1</v>
      </c>
      <c r="E51" s="132" t="s">
        <v>771</v>
      </c>
      <c r="F51" s="132"/>
      <c r="G51" s="132" t="s">
        <v>61</v>
      </c>
    </row>
    <row r="52" spans="1:7">
      <c r="A52" s="131">
        <v>51</v>
      </c>
      <c r="B52" s="132" t="s">
        <v>289</v>
      </c>
      <c r="C52" s="132" t="s">
        <v>494</v>
      </c>
      <c r="D52" s="132">
        <v>1</v>
      </c>
      <c r="E52" s="132" t="s">
        <v>771</v>
      </c>
      <c r="F52" s="132"/>
      <c r="G52" s="132" t="s">
        <v>61</v>
      </c>
    </row>
    <row r="53" spans="1:7">
      <c r="A53" s="131">
        <v>52</v>
      </c>
      <c r="B53" s="132" t="s">
        <v>289</v>
      </c>
      <c r="C53" s="132" t="s">
        <v>500</v>
      </c>
      <c r="D53" s="132">
        <v>2</v>
      </c>
      <c r="E53" s="132" t="s">
        <v>771</v>
      </c>
      <c r="F53" s="132" t="s">
        <v>775</v>
      </c>
      <c r="G53" s="132" t="s">
        <v>61</v>
      </c>
    </row>
    <row r="54" spans="1:7">
      <c r="A54" s="131">
        <v>53</v>
      </c>
      <c r="B54" s="132" t="s">
        <v>289</v>
      </c>
      <c r="C54" s="132" t="s">
        <v>513</v>
      </c>
      <c r="D54" s="132">
        <v>2</v>
      </c>
      <c r="E54" s="132" t="s">
        <v>771</v>
      </c>
      <c r="F54" s="132"/>
      <c r="G54" s="132" t="s">
        <v>61</v>
      </c>
    </row>
    <row r="55" spans="1:7">
      <c r="A55" s="131">
        <v>54</v>
      </c>
      <c r="B55" s="132" t="s">
        <v>289</v>
      </c>
      <c r="C55" s="132" t="s">
        <v>521</v>
      </c>
      <c r="D55" s="132">
        <v>2</v>
      </c>
      <c r="E55" s="132" t="s">
        <v>771</v>
      </c>
      <c r="F55" s="132"/>
      <c r="G55" s="132" t="s">
        <v>61</v>
      </c>
    </row>
    <row r="56" spans="1:7">
      <c r="A56" s="131">
        <v>55</v>
      </c>
      <c r="B56" s="132" t="s">
        <v>289</v>
      </c>
      <c r="C56" s="132" t="s">
        <v>529</v>
      </c>
      <c r="D56" s="132">
        <v>1</v>
      </c>
      <c r="E56" s="132" t="s">
        <v>771</v>
      </c>
      <c r="F56" s="132"/>
      <c r="G56" s="132" t="s">
        <v>61</v>
      </c>
    </row>
    <row r="57" spans="1:7">
      <c r="A57" s="131">
        <v>56</v>
      </c>
      <c r="B57" s="132" t="s">
        <v>289</v>
      </c>
      <c r="C57" s="132" t="s">
        <v>534</v>
      </c>
      <c r="D57" s="132">
        <v>1</v>
      </c>
      <c r="E57" s="132" t="s">
        <v>771</v>
      </c>
      <c r="F57" s="132"/>
      <c r="G57" s="132" t="s">
        <v>61</v>
      </c>
    </row>
    <row r="58" spans="1:7">
      <c r="A58" s="131">
        <v>57</v>
      </c>
      <c r="B58" s="132" t="s">
        <v>289</v>
      </c>
      <c r="C58" s="132" t="s">
        <v>541</v>
      </c>
      <c r="D58" s="132">
        <v>1</v>
      </c>
      <c r="E58" s="132" t="s">
        <v>771</v>
      </c>
      <c r="F58" s="132"/>
      <c r="G58" s="132" t="s">
        <v>61</v>
      </c>
    </row>
    <row r="59" spans="1:7">
      <c r="A59" s="131">
        <v>58</v>
      </c>
      <c r="B59" s="132" t="s">
        <v>289</v>
      </c>
      <c r="C59" s="132" t="s">
        <v>548</v>
      </c>
      <c r="D59" s="132">
        <v>1</v>
      </c>
      <c r="E59" s="132" t="s">
        <v>771</v>
      </c>
      <c r="F59" s="132"/>
      <c r="G59" s="132" t="s">
        <v>61</v>
      </c>
    </row>
    <row r="60" spans="1:7">
      <c r="A60" s="131">
        <v>59</v>
      </c>
      <c r="B60" s="132" t="s">
        <v>289</v>
      </c>
      <c r="C60" s="132" t="s">
        <v>556</v>
      </c>
      <c r="D60" s="132">
        <v>2</v>
      </c>
      <c r="E60" s="132" t="s">
        <v>771</v>
      </c>
      <c r="F60" s="132"/>
      <c r="G60" s="132" t="s">
        <v>61</v>
      </c>
    </row>
    <row r="61" spans="1:7">
      <c r="A61" s="131">
        <v>60</v>
      </c>
      <c r="B61" s="132" t="s">
        <v>289</v>
      </c>
      <c r="C61" s="132" t="s">
        <v>565</v>
      </c>
      <c r="D61" s="132">
        <v>1</v>
      </c>
      <c r="E61" s="132" t="s">
        <v>771</v>
      </c>
      <c r="F61" s="132"/>
      <c r="G61" s="132" t="s">
        <v>61</v>
      </c>
    </row>
    <row r="62" spans="1:7">
      <c r="A62" s="131">
        <v>61</v>
      </c>
      <c r="B62" s="132" t="s">
        <v>289</v>
      </c>
      <c r="C62" s="132" t="s">
        <v>573</v>
      </c>
      <c r="D62" s="132">
        <v>1</v>
      </c>
      <c r="E62" s="132" t="s">
        <v>771</v>
      </c>
      <c r="F62" s="132"/>
      <c r="G62" s="132" t="s">
        <v>61</v>
      </c>
    </row>
    <row r="63" spans="1:7">
      <c r="A63" s="131">
        <v>62</v>
      </c>
      <c r="B63" s="132" t="s">
        <v>741</v>
      </c>
      <c r="C63" s="132" t="s">
        <v>592</v>
      </c>
      <c r="D63" s="132"/>
      <c r="E63" s="132" t="s">
        <v>771</v>
      </c>
      <c r="F63" s="132"/>
      <c r="G63" s="132" t="s">
        <v>61</v>
      </c>
    </row>
    <row r="64" spans="1:7">
      <c r="A64" s="131">
        <v>63</v>
      </c>
      <c r="B64" s="132" t="s">
        <v>741</v>
      </c>
      <c r="C64" s="132" t="s">
        <v>619</v>
      </c>
      <c r="D64" s="132"/>
      <c r="E64" s="132" t="s">
        <v>771</v>
      </c>
      <c r="F64" s="132"/>
      <c r="G64" s="132" t="s">
        <v>61</v>
      </c>
    </row>
    <row r="65" spans="1:7">
      <c r="A65" s="131">
        <v>64</v>
      </c>
      <c r="B65" s="132" t="s">
        <v>741</v>
      </c>
      <c r="C65" s="132" t="s">
        <v>630</v>
      </c>
      <c r="D65" s="132"/>
      <c r="E65" s="132" t="s">
        <v>771</v>
      </c>
      <c r="F65" s="132"/>
      <c r="G65" s="132" t="s">
        <v>61</v>
      </c>
    </row>
    <row r="66" spans="1:7">
      <c r="A66" s="131">
        <v>65</v>
      </c>
      <c r="B66" s="132" t="s">
        <v>741</v>
      </c>
      <c r="C66" s="132" t="s">
        <v>595</v>
      </c>
      <c r="D66" s="132"/>
      <c r="E66" s="132" t="s">
        <v>771</v>
      </c>
      <c r="F66" s="133"/>
      <c r="G66" s="132" t="s">
        <v>61</v>
      </c>
    </row>
    <row r="67" spans="1:7">
      <c r="A67" s="131">
        <v>66</v>
      </c>
      <c r="B67" s="132" t="s">
        <v>741</v>
      </c>
      <c r="C67" s="132" t="s">
        <v>739</v>
      </c>
      <c r="D67" s="132"/>
      <c r="E67" s="132" t="s">
        <v>771</v>
      </c>
      <c r="F67" s="134"/>
      <c r="G67" s="132" t="s">
        <v>61</v>
      </c>
    </row>
    <row r="68" spans="1:7">
      <c r="A68" s="131">
        <v>67</v>
      </c>
      <c r="B68" s="132" t="s">
        <v>741</v>
      </c>
      <c r="C68" s="132" t="s">
        <v>648</v>
      </c>
      <c r="D68" s="132"/>
      <c r="E68" s="132" t="s">
        <v>771</v>
      </c>
      <c r="F68" s="134"/>
      <c r="G68" s="132" t="s">
        <v>61</v>
      </c>
    </row>
    <row r="69" spans="1:7">
      <c r="A69" s="131">
        <v>68</v>
      </c>
      <c r="B69" s="132" t="s">
        <v>741</v>
      </c>
      <c r="C69" s="132" t="s">
        <v>581</v>
      </c>
      <c r="D69" s="132"/>
      <c r="E69" s="132" t="s">
        <v>771</v>
      </c>
      <c r="F69" s="132"/>
      <c r="G69" s="132" t="s">
        <v>61</v>
      </c>
    </row>
    <row r="70" spans="1:7">
      <c r="A70" s="131">
        <v>69</v>
      </c>
      <c r="B70" s="132" t="s">
        <v>741</v>
      </c>
      <c r="C70" s="132" t="s">
        <v>701</v>
      </c>
      <c r="D70" s="132"/>
      <c r="E70" s="132" t="s">
        <v>771</v>
      </c>
      <c r="F70" s="132"/>
      <c r="G70" s="132" t="s">
        <v>61</v>
      </c>
    </row>
    <row r="71" spans="1:7">
      <c r="A71" s="131">
        <v>70</v>
      </c>
      <c r="B71" s="132" t="s">
        <v>742</v>
      </c>
      <c r="C71" s="132" t="s">
        <v>631</v>
      </c>
      <c r="D71" s="132"/>
      <c r="E71" s="132" t="s">
        <v>771</v>
      </c>
      <c r="F71" s="132"/>
      <c r="G71" s="132" t="s">
        <v>61</v>
      </c>
    </row>
    <row r="72" spans="1:7">
      <c r="A72" s="131">
        <v>71</v>
      </c>
      <c r="B72" s="132" t="s">
        <v>742</v>
      </c>
      <c r="C72" s="132" t="s">
        <v>686</v>
      </c>
      <c r="D72" s="132"/>
      <c r="E72" s="132" t="s">
        <v>771</v>
      </c>
      <c r="F72" s="132"/>
      <c r="G72" s="132" t="s">
        <v>61</v>
      </c>
    </row>
    <row r="73" spans="1:7">
      <c r="A73" s="131">
        <v>72</v>
      </c>
      <c r="B73" s="132" t="s">
        <v>742</v>
      </c>
      <c r="C73" s="132" t="s">
        <v>644</v>
      </c>
      <c r="D73" s="132"/>
      <c r="E73" s="132" t="s">
        <v>771</v>
      </c>
      <c r="F73" s="132"/>
      <c r="G73" s="132" t="s">
        <v>61</v>
      </c>
    </row>
    <row r="74" spans="1:7">
      <c r="A74" s="131">
        <v>73</v>
      </c>
      <c r="B74" s="132" t="s">
        <v>743</v>
      </c>
      <c r="C74" s="132" t="s">
        <v>597</v>
      </c>
      <c r="D74" s="132">
        <v>1</v>
      </c>
      <c r="E74" s="132" t="s">
        <v>771</v>
      </c>
      <c r="F74" s="132"/>
      <c r="G74" s="132" t="s">
        <v>61</v>
      </c>
    </row>
    <row r="75" spans="1:7">
      <c r="A75" s="131">
        <v>74</v>
      </c>
      <c r="B75" s="132" t="s">
        <v>743</v>
      </c>
      <c r="C75" s="132" t="s">
        <v>670</v>
      </c>
      <c r="D75" s="132">
        <v>1</v>
      </c>
      <c r="E75" s="132" t="s">
        <v>771</v>
      </c>
      <c r="F75" s="132"/>
      <c r="G75" s="132" t="s">
        <v>61</v>
      </c>
    </row>
    <row r="76" spans="1:7">
      <c r="A76" s="131">
        <v>75</v>
      </c>
      <c r="B76" s="132" t="s">
        <v>743</v>
      </c>
      <c r="C76" s="132" t="s">
        <v>667</v>
      </c>
      <c r="D76" s="132">
        <v>1</v>
      </c>
      <c r="E76" s="132" t="s">
        <v>771</v>
      </c>
      <c r="F76" s="132"/>
      <c r="G76" s="132" t="s">
        <v>61</v>
      </c>
    </row>
    <row r="77" spans="1:7">
      <c r="A77" s="131">
        <v>76</v>
      </c>
      <c r="B77" s="132" t="s">
        <v>743</v>
      </c>
      <c r="C77" s="132" t="s">
        <v>694</v>
      </c>
      <c r="D77" s="132">
        <v>1</v>
      </c>
      <c r="E77" s="132" t="s">
        <v>771</v>
      </c>
      <c r="F77" s="132"/>
      <c r="G77" s="132" t="s">
        <v>61</v>
      </c>
    </row>
    <row r="78" spans="1:7">
      <c r="A78" s="131">
        <v>77</v>
      </c>
      <c r="B78" s="132" t="s">
        <v>744</v>
      </c>
      <c r="C78" s="132" t="s">
        <v>705</v>
      </c>
      <c r="D78" s="132">
        <v>1</v>
      </c>
      <c r="E78" s="132" t="s">
        <v>771</v>
      </c>
      <c r="F78" s="132"/>
      <c r="G78" s="132" t="s">
        <v>61</v>
      </c>
    </row>
    <row r="79" spans="1:7">
      <c r="A79" s="131">
        <v>78</v>
      </c>
      <c r="B79" s="132" t="s">
        <v>744</v>
      </c>
      <c r="C79" s="132" t="s">
        <v>722</v>
      </c>
      <c r="D79" s="132">
        <v>3</v>
      </c>
      <c r="E79" s="132" t="s">
        <v>771</v>
      </c>
      <c r="F79" s="132"/>
      <c r="G79" s="132" t="s">
        <v>61</v>
      </c>
    </row>
    <row r="80" spans="1:7">
      <c r="A80" s="131">
        <v>79</v>
      </c>
      <c r="B80" s="132" t="s">
        <v>744</v>
      </c>
      <c r="C80" s="132" t="s">
        <v>649</v>
      </c>
      <c r="D80" s="132">
        <v>1</v>
      </c>
      <c r="E80" s="132" t="s">
        <v>771</v>
      </c>
      <c r="F80" s="132"/>
      <c r="G80" s="132" t="s">
        <v>61</v>
      </c>
    </row>
    <row r="81" spans="1:7">
      <c r="A81" s="131">
        <v>80</v>
      </c>
      <c r="B81" s="132" t="s">
        <v>744</v>
      </c>
      <c r="C81" s="132" t="s">
        <v>719</v>
      </c>
      <c r="D81" s="132">
        <v>1</v>
      </c>
      <c r="E81" s="132" t="s">
        <v>771</v>
      </c>
      <c r="F81" s="132"/>
      <c r="G81" s="132" t="s">
        <v>61</v>
      </c>
    </row>
    <row r="82" spans="1:7">
      <c r="A82" s="131">
        <v>81</v>
      </c>
      <c r="B82" s="132" t="s">
        <v>744</v>
      </c>
      <c r="C82" s="132" t="s">
        <v>625</v>
      </c>
      <c r="D82" s="132">
        <v>2</v>
      </c>
      <c r="E82" s="132" t="s">
        <v>771</v>
      </c>
      <c r="F82" s="132"/>
      <c r="G82" s="132" t="s">
        <v>61</v>
      </c>
    </row>
    <row r="83" spans="1:7">
      <c r="A83" s="131">
        <v>82</v>
      </c>
      <c r="B83" s="132" t="s">
        <v>745</v>
      </c>
      <c r="C83" s="132" t="s">
        <v>699</v>
      </c>
      <c r="D83" s="132">
        <v>2</v>
      </c>
      <c r="E83" s="132" t="s">
        <v>771</v>
      </c>
      <c r="F83" s="132"/>
      <c r="G83" s="132" t="s">
        <v>61</v>
      </c>
    </row>
    <row r="84" spans="1:7">
      <c r="A84" s="131">
        <v>83</v>
      </c>
      <c r="B84" s="132" t="s">
        <v>746</v>
      </c>
      <c r="C84" s="132" t="s">
        <v>724</v>
      </c>
      <c r="D84" s="132">
        <v>1</v>
      </c>
      <c r="E84" s="132" t="s">
        <v>771</v>
      </c>
      <c r="F84" s="132"/>
      <c r="G84" s="132" t="s">
        <v>61</v>
      </c>
    </row>
    <row r="85" spans="1:7">
      <c r="A85" s="131">
        <v>84</v>
      </c>
      <c r="B85" s="132" t="s">
        <v>746</v>
      </c>
      <c r="C85" s="132" t="s">
        <v>693</v>
      </c>
      <c r="D85" s="132">
        <v>1</v>
      </c>
      <c r="E85" s="132" t="s">
        <v>771</v>
      </c>
      <c r="F85" s="132"/>
      <c r="G85" s="132" t="s">
        <v>61</v>
      </c>
    </row>
    <row r="86" spans="1:7">
      <c r="A86" s="131">
        <v>85</v>
      </c>
      <c r="B86" s="132" t="s">
        <v>746</v>
      </c>
      <c r="C86" s="132" t="s">
        <v>704</v>
      </c>
      <c r="D86" s="132">
        <v>2</v>
      </c>
      <c r="E86" s="132" t="s">
        <v>771</v>
      </c>
      <c r="F86" s="132"/>
      <c r="G86" s="132" t="s">
        <v>61</v>
      </c>
    </row>
    <row r="87" spans="1:7">
      <c r="A87" s="131">
        <v>86</v>
      </c>
      <c r="B87" s="132" t="s">
        <v>746</v>
      </c>
      <c r="C87" s="132" t="s">
        <v>723</v>
      </c>
      <c r="D87" s="132">
        <v>3</v>
      </c>
      <c r="E87" s="132" t="s">
        <v>771</v>
      </c>
      <c r="F87" s="132" t="s">
        <v>776</v>
      </c>
      <c r="G87" s="132" t="s">
        <v>61</v>
      </c>
    </row>
    <row r="88" spans="1:7">
      <c r="A88" s="131">
        <v>87</v>
      </c>
      <c r="B88" s="132" t="s">
        <v>746</v>
      </c>
      <c r="C88" s="132" t="s">
        <v>634</v>
      </c>
      <c r="D88" s="132">
        <v>1</v>
      </c>
      <c r="E88" s="132" t="s">
        <v>771</v>
      </c>
      <c r="F88" s="132"/>
      <c r="G88" s="132" t="s">
        <v>61</v>
      </c>
    </row>
    <row r="89" spans="1:7">
      <c r="A89" s="131">
        <v>88</v>
      </c>
      <c r="B89" s="132" t="s">
        <v>746</v>
      </c>
      <c r="C89" s="132" t="s">
        <v>738</v>
      </c>
      <c r="D89" s="132">
        <v>2</v>
      </c>
      <c r="E89" s="132" t="s">
        <v>771</v>
      </c>
      <c r="F89" s="132"/>
      <c r="G89" s="132" t="s">
        <v>61</v>
      </c>
    </row>
    <row r="90" spans="1:7">
      <c r="A90" s="131">
        <v>89</v>
      </c>
      <c r="B90" s="132" t="s">
        <v>746</v>
      </c>
      <c r="C90" s="132" t="s">
        <v>718</v>
      </c>
      <c r="D90" s="132">
        <v>1</v>
      </c>
      <c r="E90" s="132" t="s">
        <v>771</v>
      </c>
      <c r="F90" s="132"/>
      <c r="G90" s="132" t="s">
        <v>61</v>
      </c>
    </row>
    <row r="91" spans="1:7">
      <c r="A91" s="131">
        <v>90</v>
      </c>
      <c r="B91" s="132" t="s">
        <v>747</v>
      </c>
      <c r="C91" s="132" t="s">
        <v>712</v>
      </c>
      <c r="D91" s="132"/>
      <c r="E91" s="132" t="s">
        <v>771</v>
      </c>
      <c r="F91" s="132"/>
      <c r="G91" s="132" t="s">
        <v>61</v>
      </c>
    </row>
    <row r="92" spans="1:7">
      <c r="A92" s="131">
        <v>91</v>
      </c>
      <c r="B92" s="132" t="s">
        <v>747</v>
      </c>
      <c r="C92" s="132" t="s">
        <v>596</v>
      </c>
      <c r="D92" s="132"/>
      <c r="E92" s="132" t="s">
        <v>771</v>
      </c>
      <c r="F92" s="132"/>
      <c r="G92" s="132" t="s">
        <v>61</v>
      </c>
    </row>
    <row r="93" spans="1:7">
      <c r="A93" s="131">
        <v>92</v>
      </c>
      <c r="B93" s="132" t="s">
        <v>747</v>
      </c>
      <c r="C93" s="132" t="s">
        <v>629</v>
      </c>
      <c r="D93" s="132"/>
      <c r="E93" s="132" t="s">
        <v>771</v>
      </c>
      <c r="F93" s="132"/>
      <c r="G93" s="132" t="s">
        <v>61</v>
      </c>
    </row>
    <row r="94" spans="1:7">
      <c r="A94" s="131">
        <v>93</v>
      </c>
      <c r="B94" s="132" t="s">
        <v>747</v>
      </c>
      <c r="C94" s="132" t="s">
        <v>727</v>
      </c>
      <c r="D94" s="132"/>
      <c r="E94" s="132" t="s">
        <v>771</v>
      </c>
      <c r="F94" s="132"/>
      <c r="G94" s="132" t="s">
        <v>61</v>
      </c>
    </row>
    <row r="95" spans="1:7">
      <c r="A95" s="131">
        <v>94</v>
      </c>
      <c r="B95" s="132" t="s">
        <v>747</v>
      </c>
      <c r="C95" s="132" t="s">
        <v>732</v>
      </c>
      <c r="D95" s="132"/>
      <c r="E95" s="132" t="s">
        <v>771</v>
      </c>
      <c r="F95" s="132"/>
      <c r="G95" s="132" t="s">
        <v>61</v>
      </c>
    </row>
    <row r="96" spans="1:7">
      <c r="A96" s="131">
        <v>95</v>
      </c>
      <c r="B96" s="132" t="s">
        <v>748</v>
      </c>
      <c r="C96" s="132" t="s">
        <v>613</v>
      </c>
      <c r="D96" s="132">
        <v>1</v>
      </c>
      <c r="E96" s="132" t="s">
        <v>771</v>
      </c>
      <c r="F96" s="132"/>
      <c r="G96" s="132" t="s">
        <v>61</v>
      </c>
    </row>
    <row r="97" spans="1:7">
      <c r="A97" s="131">
        <v>96</v>
      </c>
      <c r="B97" s="132" t="s">
        <v>748</v>
      </c>
      <c r="C97" s="132" t="s">
        <v>726</v>
      </c>
      <c r="D97" s="132">
        <v>1</v>
      </c>
      <c r="E97" s="132" t="s">
        <v>771</v>
      </c>
      <c r="F97" s="132"/>
      <c r="G97" s="132" t="s">
        <v>61</v>
      </c>
    </row>
    <row r="98" spans="1:7">
      <c r="A98" s="131">
        <v>97</v>
      </c>
      <c r="B98" s="132" t="s">
        <v>748</v>
      </c>
      <c r="C98" s="132" t="s">
        <v>646</v>
      </c>
      <c r="D98" s="132">
        <v>1</v>
      </c>
      <c r="E98" s="132" t="s">
        <v>771</v>
      </c>
      <c r="F98" s="132"/>
      <c r="G98" s="132" t="s">
        <v>61</v>
      </c>
    </row>
    <row r="99" spans="1:7">
      <c r="A99" s="131">
        <v>98</v>
      </c>
      <c r="B99" s="132" t="s">
        <v>748</v>
      </c>
      <c r="C99" s="132" t="s">
        <v>627</v>
      </c>
      <c r="D99" s="132">
        <v>2</v>
      </c>
      <c r="E99" s="132" t="s">
        <v>771</v>
      </c>
      <c r="F99" s="132"/>
      <c r="G99" s="132" t="s">
        <v>61</v>
      </c>
    </row>
    <row r="100" spans="1:7">
      <c r="A100" s="131">
        <v>99</v>
      </c>
      <c r="B100" s="132" t="s">
        <v>749</v>
      </c>
      <c r="C100" s="132" t="s">
        <v>677</v>
      </c>
      <c r="D100" s="132">
        <v>1</v>
      </c>
      <c r="E100" s="132" t="s">
        <v>771</v>
      </c>
      <c r="F100" s="132"/>
      <c r="G100" s="132" t="s">
        <v>61</v>
      </c>
    </row>
    <row r="101" spans="1:7">
      <c r="A101" s="131">
        <v>100</v>
      </c>
      <c r="B101" s="132" t="s">
        <v>749</v>
      </c>
      <c r="C101" s="132" t="s">
        <v>675</v>
      </c>
      <c r="D101" s="132">
        <v>1</v>
      </c>
      <c r="E101" s="132" t="s">
        <v>771</v>
      </c>
      <c r="F101" s="132"/>
      <c r="G101" s="132" t="s">
        <v>61</v>
      </c>
    </row>
    <row r="102" spans="1:7">
      <c r="A102" s="131">
        <v>101</v>
      </c>
      <c r="B102" s="132" t="s">
        <v>749</v>
      </c>
      <c r="C102" s="132" t="s">
        <v>652</v>
      </c>
      <c r="D102" s="132">
        <v>1</v>
      </c>
      <c r="E102" s="132" t="s">
        <v>771</v>
      </c>
      <c r="F102" s="132"/>
      <c r="G102" s="132" t="s">
        <v>61</v>
      </c>
    </row>
    <row r="103" spans="1:7">
      <c r="A103" s="131">
        <v>102</v>
      </c>
      <c r="B103" s="132" t="s">
        <v>749</v>
      </c>
      <c r="C103" s="132" t="s">
        <v>623</v>
      </c>
      <c r="D103" s="132">
        <v>2</v>
      </c>
      <c r="E103" s="132" t="s">
        <v>771</v>
      </c>
      <c r="F103" s="132"/>
      <c r="G103" s="132" t="s">
        <v>61</v>
      </c>
    </row>
    <row r="104" spans="1:7">
      <c r="A104" s="131">
        <v>103</v>
      </c>
      <c r="B104" s="132" t="s">
        <v>749</v>
      </c>
      <c r="C104" s="132" t="s">
        <v>678</v>
      </c>
      <c r="D104" s="132">
        <v>2</v>
      </c>
      <c r="E104" s="132" t="s">
        <v>771</v>
      </c>
      <c r="F104" s="132" t="s">
        <v>777</v>
      </c>
      <c r="G104" s="132" t="s">
        <v>61</v>
      </c>
    </row>
    <row r="105" spans="1:7">
      <c r="A105" s="131">
        <v>104</v>
      </c>
      <c r="B105" s="132" t="s">
        <v>749</v>
      </c>
      <c r="C105" s="132" t="s">
        <v>637</v>
      </c>
      <c r="D105" s="132">
        <v>1</v>
      </c>
      <c r="E105" s="132" t="s">
        <v>771</v>
      </c>
      <c r="F105" s="132"/>
      <c r="G105" s="132" t="s">
        <v>61</v>
      </c>
    </row>
    <row r="106" spans="1:7">
      <c r="A106" s="131">
        <v>105</v>
      </c>
      <c r="B106" s="132" t="s">
        <v>749</v>
      </c>
      <c r="C106" s="132" t="s">
        <v>647</v>
      </c>
      <c r="D106" s="132">
        <v>1</v>
      </c>
      <c r="E106" s="132" t="s">
        <v>771</v>
      </c>
      <c r="F106" s="132"/>
      <c r="G106" s="132" t="s">
        <v>61</v>
      </c>
    </row>
    <row r="107" spans="1:7">
      <c r="A107" s="131">
        <v>106</v>
      </c>
      <c r="B107" s="132" t="s">
        <v>749</v>
      </c>
      <c r="C107" s="132" t="s">
        <v>716</v>
      </c>
      <c r="D107" s="132">
        <v>1</v>
      </c>
      <c r="E107" s="132" t="s">
        <v>771</v>
      </c>
      <c r="F107" s="132"/>
      <c r="G107" s="132" t="s">
        <v>61</v>
      </c>
    </row>
    <row r="108" spans="1:7">
      <c r="A108" s="131">
        <v>107</v>
      </c>
      <c r="B108" s="132" t="s">
        <v>749</v>
      </c>
      <c r="C108" s="132" t="s">
        <v>689</v>
      </c>
      <c r="D108" s="132">
        <v>1</v>
      </c>
      <c r="E108" s="132" t="s">
        <v>771</v>
      </c>
      <c r="F108" s="132"/>
      <c r="G108" s="132" t="s">
        <v>61</v>
      </c>
    </row>
    <row r="109" spans="1:7">
      <c r="A109" s="131">
        <v>108</v>
      </c>
      <c r="B109" s="132" t="s">
        <v>749</v>
      </c>
      <c r="C109" s="132" t="s">
        <v>617</v>
      </c>
      <c r="D109" s="132">
        <v>2</v>
      </c>
      <c r="E109" s="132" t="s">
        <v>771</v>
      </c>
      <c r="F109" s="132"/>
      <c r="G109" s="132" t="s">
        <v>61</v>
      </c>
    </row>
    <row r="110" spans="1:7">
      <c r="A110" s="131">
        <v>109</v>
      </c>
      <c r="B110" s="132" t="s">
        <v>749</v>
      </c>
      <c r="C110" s="132" t="s">
        <v>618</v>
      </c>
      <c r="D110" s="132">
        <v>2</v>
      </c>
      <c r="E110" s="132" t="s">
        <v>771</v>
      </c>
      <c r="F110" s="132"/>
      <c r="G110" s="132" t="s">
        <v>61</v>
      </c>
    </row>
    <row r="111" spans="1:7">
      <c r="A111" s="131">
        <v>110</v>
      </c>
      <c r="B111" s="132" t="s">
        <v>749</v>
      </c>
      <c r="C111" s="132" t="s">
        <v>603</v>
      </c>
      <c r="D111" s="132">
        <v>1</v>
      </c>
      <c r="E111" s="132" t="s">
        <v>771</v>
      </c>
      <c r="F111" s="132"/>
      <c r="G111" s="132" t="s">
        <v>61</v>
      </c>
    </row>
    <row r="112" spans="1:7">
      <c r="A112" s="131">
        <v>111</v>
      </c>
      <c r="B112" s="132" t="s">
        <v>749</v>
      </c>
      <c r="C112" s="132" t="s">
        <v>650</v>
      </c>
      <c r="D112" s="132">
        <v>1</v>
      </c>
      <c r="E112" s="132" t="s">
        <v>771</v>
      </c>
      <c r="F112" s="132"/>
      <c r="G112" s="132" t="s">
        <v>61</v>
      </c>
    </row>
    <row r="113" spans="1:7">
      <c r="A113" s="131">
        <v>112</v>
      </c>
      <c r="B113" s="132" t="s">
        <v>750</v>
      </c>
      <c r="C113" s="132" t="s">
        <v>658</v>
      </c>
      <c r="D113" s="132">
        <v>3</v>
      </c>
      <c r="E113" s="132" t="s">
        <v>771</v>
      </c>
      <c r="F113" s="132"/>
      <c r="G113" s="132" t="s">
        <v>61</v>
      </c>
    </row>
    <row r="114" spans="1:7">
      <c r="A114" s="131">
        <v>113</v>
      </c>
      <c r="B114" s="132" t="s">
        <v>750</v>
      </c>
      <c r="C114" s="132" t="s">
        <v>681</v>
      </c>
      <c r="D114" s="132">
        <v>1</v>
      </c>
      <c r="E114" s="132" t="s">
        <v>771</v>
      </c>
      <c r="F114" s="132"/>
      <c r="G114" s="132" t="s">
        <v>61</v>
      </c>
    </row>
    <row r="115" spans="1:7">
      <c r="A115" s="131">
        <v>114</v>
      </c>
      <c r="B115" s="132" t="s">
        <v>750</v>
      </c>
      <c r="C115" s="132" t="s">
        <v>691</v>
      </c>
      <c r="D115" s="132">
        <v>1</v>
      </c>
      <c r="E115" s="132" t="s">
        <v>771</v>
      </c>
      <c r="F115" s="132"/>
      <c r="G115" s="132" t="s">
        <v>61</v>
      </c>
    </row>
    <row r="116" spans="1:7">
      <c r="A116" s="131">
        <v>115</v>
      </c>
      <c r="B116" s="132" t="s">
        <v>751</v>
      </c>
      <c r="C116" s="132" t="s">
        <v>687</v>
      </c>
      <c r="D116" s="132">
        <v>1</v>
      </c>
      <c r="E116" s="132" t="s">
        <v>771</v>
      </c>
      <c r="F116" s="132"/>
      <c r="G116" s="132" t="s">
        <v>61</v>
      </c>
    </row>
    <row r="117" spans="1:7">
      <c r="A117" s="131">
        <v>116</v>
      </c>
      <c r="B117" s="132" t="s">
        <v>751</v>
      </c>
      <c r="C117" s="132" t="s">
        <v>715</v>
      </c>
      <c r="D117" s="132">
        <v>4</v>
      </c>
      <c r="E117" s="132" t="s">
        <v>771</v>
      </c>
      <c r="F117" s="132"/>
      <c r="G117" s="132" t="s">
        <v>61</v>
      </c>
    </row>
    <row r="118" spans="1:7">
      <c r="A118" s="131">
        <v>117</v>
      </c>
      <c r="B118" s="132" t="s">
        <v>751</v>
      </c>
      <c r="C118" s="132" t="s">
        <v>651</v>
      </c>
      <c r="D118" s="132">
        <v>3</v>
      </c>
      <c r="E118" s="132" t="s">
        <v>771</v>
      </c>
      <c r="F118" s="132"/>
      <c r="G118" s="132" t="s">
        <v>61</v>
      </c>
    </row>
    <row r="119" spans="1:7">
      <c r="A119" s="131">
        <v>118</v>
      </c>
      <c r="B119" s="132" t="s">
        <v>751</v>
      </c>
      <c r="C119" s="132" t="s">
        <v>665</v>
      </c>
      <c r="D119" s="132">
        <v>1</v>
      </c>
      <c r="E119" s="132" t="s">
        <v>771</v>
      </c>
      <c r="F119" s="132"/>
      <c r="G119" s="132" t="s">
        <v>61</v>
      </c>
    </row>
    <row r="120" spans="1:7">
      <c r="A120" s="131">
        <v>119</v>
      </c>
      <c r="B120" s="132" t="s">
        <v>751</v>
      </c>
      <c r="C120" s="132" t="s">
        <v>695</v>
      </c>
      <c r="D120" s="132">
        <v>4</v>
      </c>
      <c r="E120" s="132" t="s">
        <v>771</v>
      </c>
      <c r="F120" s="132" t="s">
        <v>778</v>
      </c>
      <c r="G120" s="132" t="s">
        <v>61</v>
      </c>
    </row>
    <row r="121" spans="1:7">
      <c r="A121" s="131">
        <v>120</v>
      </c>
      <c r="B121" s="132" t="s">
        <v>751</v>
      </c>
      <c r="C121" s="132" t="s">
        <v>636</v>
      </c>
      <c r="D121" s="132">
        <v>1</v>
      </c>
      <c r="E121" s="132" t="s">
        <v>771</v>
      </c>
      <c r="F121" s="132"/>
      <c r="G121" s="132" t="s">
        <v>61</v>
      </c>
    </row>
    <row r="122" spans="1:7">
      <c r="A122" s="131">
        <v>121</v>
      </c>
      <c r="B122" s="132" t="s">
        <v>751</v>
      </c>
      <c r="C122" s="132" t="s">
        <v>654</v>
      </c>
      <c r="D122" s="132">
        <v>1</v>
      </c>
      <c r="E122" s="132" t="s">
        <v>771</v>
      </c>
      <c r="F122" s="132"/>
      <c r="G122" s="132" t="s">
        <v>61</v>
      </c>
    </row>
    <row r="123" spans="1:7">
      <c r="A123" s="131">
        <v>122</v>
      </c>
      <c r="B123" s="132" t="s">
        <v>751</v>
      </c>
      <c r="C123" s="132" t="s">
        <v>600</v>
      </c>
      <c r="D123" s="132">
        <v>1</v>
      </c>
      <c r="E123" s="132" t="s">
        <v>771</v>
      </c>
      <c r="F123" s="132"/>
      <c r="G123" s="132" t="s">
        <v>61</v>
      </c>
    </row>
    <row r="124" spans="1:7">
      <c r="A124" s="131">
        <v>123</v>
      </c>
      <c r="B124" s="132" t="s">
        <v>751</v>
      </c>
      <c r="C124" s="132" t="s">
        <v>601</v>
      </c>
      <c r="D124" s="132">
        <v>2</v>
      </c>
      <c r="E124" s="132" t="s">
        <v>771</v>
      </c>
      <c r="F124" s="132" t="s">
        <v>773</v>
      </c>
      <c r="G124" s="132" t="s">
        <v>61</v>
      </c>
    </row>
    <row r="125" spans="1:7">
      <c r="A125" s="131">
        <v>124</v>
      </c>
      <c r="B125" s="132" t="s">
        <v>751</v>
      </c>
      <c r="C125" s="132" t="s">
        <v>692</v>
      </c>
      <c r="D125" s="132">
        <v>1</v>
      </c>
      <c r="E125" s="132" t="s">
        <v>771</v>
      </c>
      <c r="F125" s="132" t="s">
        <v>779</v>
      </c>
      <c r="G125" s="132" t="s">
        <v>61</v>
      </c>
    </row>
    <row r="126" spans="1:7">
      <c r="A126" s="131">
        <v>125</v>
      </c>
      <c r="B126" s="132" t="s">
        <v>751</v>
      </c>
      <c r="C126" s="132" t="s">
        <v>640</v>
      </c>
      <c r="D126" s="132">
        <v>1</v>
      </c>
      <c r="E126" s="132" t="s">
        <v>771</v>
      </c>
      <c r="F126" s="132"/>
      <c r="G126" s="132" t="s">
        <v>61</v>
      </c>
    </row>
    <row r="127" spans="1:7">
      <c r="A127" s="131">
        <v>126</v>
      </c>
      <c r="B127" s="132" t="s">
        <v>751</v>
      </c>
      <c r="C127" s="132" t="s">
        <v>674</v>
      </c>
      <c r="D127" s="132">
        <v>1</v>
      </c>
      <c r="E127" s="132" t="s">
        <v>771</v>
      </c>
      <c r="F127" s="132" t="s">
        <v>773</v>
      </c>
      <c r="G127" s="132" t="s">
        <v>61</v>
      </c>
    </row>
    <row r="128" spans="1:7">
      <c r="A128" s="131">
        <v>127</v>
      </c>
      <c r="B128" s="132" t="s">
        <v>751</v>
      </c>
      <c r="C128" s="132" t="s">
        <v>602</v>
      </c>
      <c r="D128" s="132">
        <v>1</v>
      </c>
      <c r="E128" s="132" t="s">
        <v>771</v>
      </c>
      <c r="F128" s="132"/>
      <c r="G128" s="132" t="s">
        <v>61</v>
      </c>
    </row>
    <row r="129" spans="1:7">
      <c r="A129" s="131">
        <v>128</v>
      </c>
      <c r="B129" s="132" t="s">
        <v>751</v>
      </c>
      <c r="C129" s="132" t="s">
        <v>700</v>
      </c>
      <c r="D129" s="132">
        <v>1</v>
      </c>
      <c r="E129" s="132" t="s">
        <v>771</v>
      </c>
      <c r="F129" s="132" t="s">
        <v>779</v>
      </c>
      <c r="G129" s="132" t="s">
        <v>61</v>
      </c>
    </row>
    <row r="130" spans="1:7">
      <c r="A130" s="131">
        <v>129</v>
      </c>
      <c r="B130" s="132" t="s">
        <v>751</v>
      </c>
      <c r="C130" s="132" t="s">
        <v>698</v>
      </c>
      <c r="D130" s="132">
        <v>1</v>
      </c>
      <c r="E130" s="132" t="s">
        <v>771</v>
      </c>
      <c r="F130" s="132"/>
      <c r="G130" s="132" t="s">
        <v>61</v>
      </c>
    </row>
    <row r="131" spans="1:7">
      <c r="A131" s="131">
        <v>130</v>
      </c>
      <c r="B131" s="132" t="s">
        <v>751</v>
      </c>
      <c r="C131" s="132" t="s">
        <v>684</v>
      </c>
      <c r="D131" s="132">
        <v>1</v>
      </c>
      <c r="E131" s="132" t="s">
        <v>771</v>
      </c>
      <c r="F131" s="132"/>
      <c r="G131" s="132" t="s">
        <v>61</v>
      </c>
    </row>
    <row r="132" spans="1:7">
      <c r="A132" s="131">
        <v>131</v>
      </c>
      <c r="B132" s="132" t="s">
        <v>751</v>
      </c>
      <c r="C132" s="132" t="s">
        <v>725</v>
      </c>
      <c r="D132" s="132">
        <v>1</v>
      </c>
      <c r="E132" s="132" t="s">
        <v>771</v>
      </c>
      <c r="F132" s="132"/>
      <c r="G132" s="132" t="s">
        <v>61</v>
      </c>
    </row>
    <row r="133" spans="1:7">
      <c r="A133" s="131">
        <v>132</v>
      </c>
      <c r="B133" s="132" t="s">
        <v>751</v>
      </c>
      <c r="C133" s="132" t="s">
        <v>661</v>
      </c>
      <c r="D133" s="132">
        <v>1</v>
      </c>
      <c r="E133" s="132" t="s">
        <v>771</v>
      </c>
      <c r="F133" s="132"/>
      <c r="G133" s="132" t="s">
        <v>61</v>
      </c>
    </row>
    <row r="134" spans="1:7">
      <c r="A134" s="131">
        <v>133</v>
      </c>
      <c r="B134" s="132" t="s">
        <v>752</v>
      </c>
      <c r="C134" s="132" t="s">
        <v>622</v>
      </c>
      <c r="D134" s="132">
        <v>2</v>
      </c>
      <c r="E134" s="132" t="s">
        <v>771</v>
      </c>
      <c r="F134" s="132"/>
      <c r="G134" s="132" t="s">
        <v>61</v>
      </c>
    </row>
    <row r="135" spans="1:7">
      <c r="A135" s="131">
        <v>134</v>
      </c>
      <c r="B135" s="132" t="s">
        <v>752</v>
      </c>
      <c r="C135" s="132" t="s">
        <v>656</v>
      </c>
      <c r="D135" s="132">
        <v>1</v>
      </c>
      <c r="E135" s="132" t="s">
        <v>771</v>
      </c>
      <c r="F135" s="132"/>
      <c r="G135" s="132" t="s">
        <v>61</v>
      </c>
    </row>
    <row r="136" spans="1:7">
      <c r="A136" s="131">
        <v>135</v>
      </c>
      <c r="B136" s="132" t="s">
        <v>753</v>
      </c>
      <c r="C136" s="132" t="s">
        <v>713</v>
      </c>
      <c r="D136" s="132"/>
      <c r="E136" s="132" t="s">
        <v>771</v>
      </c>
      <c r="F136" s="132" t="s">
        <v>773</v>
      </c>
      <c r="G136" s="132" t="s">
        <v>61</v>
      </c>
    </row>
    <row r="137" spans="1:7">
      <c r="A137" s="131">
        <v>136</v>
      </c>
      <c r="B137" s="132" t="s">
        <v>754</v>
      </c>
      <c r="C137" s="132" t="s">
        <v>736</v>
      </c>
      <c r="D137" s="132">
        <v>1</v>
      </c>
      <c r="E137" s="132" t="s">
        <v>771</v>
      </c>
      <c r="F137" s="132"/>
      <c r="G137" s="132" t="s">
        <v>61</v>
      </c>
    </row>
    <row r="138" spans="1:7">
      <c r="A138" s="131">
        <v>137</v>
      </c>
      <c r="B138" s="132" t="s">
        <v>754</v>
      </c>
      <c r="C138" s="132" t="s">
        <v>626</v>
      </c>
      <c r="D138" s="132">
        <v>1</v>
      </c>
      <c r="E138" s="132" t="s">
        <v>771</v>
      </c>
      <c r="F138" s="132"/>
      <c r="G138" s="132" t="s">
        <v>61</v>
      </c>
    </row>
    <row r="139" spans="1:7">
      <c r="A139" s="131">
        <v>138</v>
      </c>
      <c r="B139" s="132" t="s">
        <v>754</v>
      </c>
      <c r="C139" s="132" t="s">
        <v>668</v>
      </c>
      <c r="D139" s="132">
        <v>1</v>
      </c>
      <c r="E139" s="132" t="s">
        <v>771</v>
      </c>
      <c r="F139" s="132"/>
      <c r="G139" s="132" t="s">
        <v>61</v>
      </c>
    </row>
    <row r="140" spans="1:7">
      <c r="A140" s="131">
        <v>139</v>
      </c>
      <c r="B140" s="132" t="s">
        <v>754</v>
      </c>
      <c r="C140" s="132" t="s">
        <v>721</v>
      </c>
      <c r="D140" s="132">
        <v>2</v>
      </c>
      <c r="E140" s="132" t="s">
        <v>771</v>
      </c>
      <c r="F140" s="132"/>
      <c r="G140" s="132" t="s">
        <v>61</v>
      </c>
    </row>
    <row r="141" spans="1:7">
      <c r="A141" s="131">
        <v>140</v>
      </c>
      <c r="B141" s="132" t="s">
        <v>754</v>
      </c>
      <c r="C141" s="132" t="s">
        <v>728</v>
      </c>
      <c r="D141" s="132">
        <v>1</v>
      </c>
      <c r="E141" s="132" t="s">
        <v>771</v>
      </c>
      <c r="F141" s="132"/>
      <c r="G141" s="132" t="s">
        <v>61</v>
      </c>
    </row>
    <row r="142" spans="1:7">
      <c r="A142" s="131">
        <v>141</v>
      </c>
      <c r="B142" s="132" t="s">
        <v>754</v>
      </c>
      <c r="C142" s="132" t="s">
        <v>620</v>
      </c>
      <c r="D142" s="132">
        <v>1</v>
      </c>
      <c r="E142" s="132" t="s">
        <v>771</v>
      </c>
      <c r="F142" s="132"/>
      <c r="G142" s="132" t="s">
        <v>61</v>
      </c>
    </row>
    <row r="143" spans="1:7">
      <c r="A143" s="131">
        <v>142</v>
      </c>
      <c r="B143" s="132" t="s">
        <v>754</v>
      </c>
      <c r="C143" s="132" t="s">
        <v>607</v>
      </c>
      <c r="D143" s="135">
        <v>1</v>
      </c>
      <c r="E143" s="132" t="s">
        <v>771</v>
      </c>
      <c r="F143" s="132"/>
      <c r="G143" s="132" t="s">
        <v>61</v>
      </c>
    </row>
    <row r="144" spans="1:7">
      <c r="A144" s="131">
        <v>143</v>
      </c>
      <c r="B144" s="132" t="s">
        <v>755</v>
      </c>
      <c r="C144" s="132" t="s">
        <v>664</v>
      </c>
      <c r="D144" s="136">
        <v>1</v>
      </c>
      <c r="E144" s="132" t="s">
        <v>771</v>
      </c>
      <c r="F144" s="132"/>
      <c r="G144" s="132" t="s">
        <v>61</v>
      </c>
    </row>
    <row r="145" spans="1:7">
      <c r="A145" s="131">
        <v>144</v>
      </c>
      <c r="B145" s="132" t="s">
        <v>755</v>
      </c>
      <c r="C145" s="132" t="s">
        <v>604</v>
      </c>
      <c r="D145" s="132">
        <v>1</v>
      </c>
      <c r="E145" s="132" t="s">
        <v>771</v>
      </c>
      <c r="F145" s="132"/>
      <c r="G145" s="132" t="s">
        <v>61</v>
      </c>
    </row>
    <row r="146" spans="1:7">
      <c r="A146" s="131">
        <v>145</v>
      </c>
      <c r="B146" s="132" t="s">
        <v>755</v>
      </c>
      <c r="C146" s="132" t="s">
        <v>673</v>
      </c>
      <c r="D146" s="132">
        <v>1</v>
      </c>
      <c r="E146" s="132" t="s">
        <v>771</v>
      </c>
      <c r="F146" s="132"/>
      <c r="G146" s="132" t="s">
        <v>61</v>
      </c>
    </row>
    <row r="147" spans="1:7">
      <c r="A147" s="131">
        <v>146</v>
      </c>
      <c r="B147" s="132" t="s">
        <v>755</v>
      </c>
      <c r="C147" s="132" t="s">
        <v>638</v>
      </c>
      <c r="D147" s="132">
        <v>2</v>
      </c>
      <c r="E147" s="132" t="s">
        <v>771</v>
      </c>
      <c r="F147" s="132"/>
      <c r="G147" s="132" t="s">
        <v>61</v>
      </c>
    </row>
    <row r="148" spans="1:7">
      <c r="A148" s="131">
        <v>147</v>
      </c>
      <c r="B148" s="132" t="s">
        <v>755</v>
      </c>
      <c r="C148" s="132" t="s">
        <v>710</v>
      </c>
      <c r="D148" s="132">
        <v>1</v>
      </c>
      <c r="E148" s="132" t="s">
        <v>771</v>
      </c>
      <c r="F148" s="132"/>
      <c r="G148" s="132" t="s">
        <v>61</v>
      </c>
    </row>
    <row r="149" spans="1:7">
      <c r="A149" s="131">
        <v>148</v>
      </c>
      <c r="B149" s="132" t="s">
        <v>756</v>
      </c>
      <c r="C149" s="132" t="s">
        <v>697</v>
      </c>
      <c r="D149" s="132"/>
      <c r="E149" s="132" t="s">
        <v>771</v>
      </c>
      <c r="F149" s="132" t="s">
        <v>773</v>
      </c>
      <c r="G149" s="132" t="s">
        <v>61</v>
      </c>
    </row>
    <row r="150" spans="1:7">
      <c r="A150" s="131">
        <v>149</v>
      </c>
      <c r="B150" s="132" t="s">
        <v>756</v>
      </c>
      <c r="C150" s="132" t="s">
        <v>605</v>
      </c>
      <c r="D150" s="132"/>
      <c r="E150" s="132" t="s">
        <v>771</v>
      </c>
      <c r="F150" s="132"/>
      <c r="G150" s="132" t="s">
        <v>61</v>
      </c>
    </row>
    <row r="151" spans="1:7">
      <c r="A151" s="131">
        <v>150</v>
      </c>
      <c r="B151" s="132" t="s">
        <v>756</v>
      </c>
      <c r="C151" s="132" t="s">
        <v>737</v>
      </c>
      <c r="D151" s="132"/>
      <c r="E151" s="132" t="s">
        <v>771</v>
      </c>
      <c r="F151" s="132"/>
      <c r="G151" s="132" t="s">
        <v>61</v>
      </c>
    </row>
    <row r="152" spans="1:7">
      <c r="A152" s="131">
        <v>151</v>
      </c>
      <c r="B152" s="132" t="s">
        <v>756</v>
      </c>
      <c r="C152" s="132" t="s">
        <v>633</v>
      </c>
      <c r="D152" s="132"/>
      <c r="E152" s="132" t="s">
        <v>771</v>
      </c>
      <c r="F152" s="132"/>
      <c r="G152" s="132" t="s">
        <v>61</v>
      </c>
    </row>
    <row r="153" spans="1:7">
      <c r="A153" s="131">
        <v>152</v>
      </c>
      <c r="B153" s="132" t="s">
        <v>756</v>
      </c>
      <c r="C153" s="132" t="s">
        <v>730</v>
      </c>
      <c r="D153" s="132"/>
      <c r="E153" s="132" t="s">
        <v>771</v>
      </c>
      <c r="F153" s="132"/>
      <c r="G153" s="132" t="s">
        <v>61</v>
      </c>
    </row>
    <row r="154" spans="1:7">
      <c r="A154" s="131">
        <v>153</v>
      </c>
      <c r="B154" s="132" t="s">
        <v>756</v>
      </c>
      <c r="C154" s="132" t="s">
        <v>614</v>
      </c>
      <c r="D154" s="132"/>
      <c r="E154" s="132" t="s">
        <v>771</v>
      </c>
      <c r="F154" s="132"/>
      <c r="G154" s="132" t="s">
        <v>61</v>
      </c>
    </row>
    <row r="155" spans="1:7">
      <c r="A155" s="131">
        <v>154</v>
      </c>
      <c r="B155" s="132" t="s">
        <v>756</v>
      </c>
      <c r="C155" s="132" t="s">
        <v>621</v>
      </c>
      <c r="D155" s="132"/>
      <c r="E155" s="132" t="s">
        <v>771</v>
      </c>
      <c r="F155" s="132"/>
      <c r="G155" s="132" t="s">
        <v>61</v>
      </c>
    </row>
    <row r="156" spans="1:7">
      <c r="A156" s="131">
        <v>155</v>
      </c>
      <c r="B156" s="132" t="s">
        <v>756</v>
      </c>
      <c r="C156" s="132" t="s">
        <v>642</v>
      </c>
      <c r="D156" s="132"/>
      <c r="E156" s="132" t="s">
        <v>771</v>
      </c>
      <c r="F156" s="132"/>
      <c r="G156" s="132" t="s">
        <v>61</v>
      </c>
    </row>
    <row r="157" spans="1:7">
      <c r="A157" s="131">
        <v>156</v>
      </c>
      <c r="B157" s="132" t="s">
        <v>756</v>
      </c>
      <c r="C157" s="132" t="s">
        <v>663</v>
      </c>
      <c r="D157" s="132"/>
      <c r="E157" s="132" t="s">
        <v>771</v>
      </c>
      <c r="F157" s="132"/>
      <c r="G157" s="132" t="s">
        <v>61</v>
      </c>
    </row>
    <row r="158" spans="1:7">
      <c r="A158" s="131">
        <v>157</v>
      </c>
      <c r="B158" s="132" t="s">
        <v>756</v>
      </c>
      <c r="C158" s="132" t="s">
        <v>643</v>
      </c>
      <c r="D158" s="132"/>
      <c r="E158" s="132" t="s">
        <v>771</v>
      </c>
      <c r="F158" s="132"/>
      <c r="G158" s="132" t="s">
        <v>61</v>
      </c>
    </row>
    <row r="159" spans="1:7">
      <c r="A159" s="131">
        <v>158</v>
      </c>
      <c r="B159" s="132" t="s">
        <v>756</v>
      </c>
      <c r="C159" s="132" t="s">
        <v>666</v>
      </c>
      <c r="D159" s="132"/>
      <c r="E159" s="132" t="s">
        <v>771</v>
      </c>
      <c r="F159" s="132"/>
      <c r="G159" s="132" t="s">
        <v>61</v>
      </c>
    </row>
    <row r="160" spans="1:7">
      <c r="A160" s="131">
        <v>159</v>
      </c>
      <c r="B160" s="132" t="s">
        <v>756</v>
      </c>
      <c r="C160" s="132" t="s">
        <v>735</v>
      </c>
      <c r="D160" s="132"/>
      <c r="E160" s="132" t="s">
        <v>771</v>
      </c>
      <c r="F160" s="132"/>
      <c r="G160" s="132" t="s">
        <v>61</v>
      </c>
    </row>
    <row r="161" spans="1:7">
      <c r="A161" s="131">
        <v>160</v>
      </c>
      <c r="B161" s="132" t="s">
        <v>756</v>
      </c>
      <c r="C161" s="132" t="s">
        <v>676</v>
      </c>
      <c r="D161" s="132"/>
      <c r="E161" s="132" t="s">
        <v>771</v>
      </c>
      <c r="F161" s="132"/>
      <c r="G161" s="132" t="s">
        <v>61</v>
      </c>
    </row>
    <row r="162" spans="1:7">
      <c r="A162" s="131">
        <v>161</v>
      </c>
      <c r="B162" s="132" t="s">
        <v>756</v>
      </c>
      <c r="C162" s="132" t="s">
        <v>598</v>
      </c>
      <c r="D162" s="132"/>
      <c r="E162" s="132" t="s">
        <v>771</v>
      </c>
      <c r="F162" s="132"/>
      <c r="G162" s="132" t="s">
        <v>61</v>
      </c>
    </row>
    <row r="163" spans="1:7">
      <c r="A163" s="131">
        <v>162</v>
      </c>
      <c r="B163" s="132" t="s">
        <v>756</v>
      </c>
      <c r="C163" s="132" t="s">
        <v>612</v>
      </c>
      <c r="D163" s="132"/>
      <c r="E163" s="132" t="s">
        <v>771</v>
      </c>
      <c r="F163" s="132"/>
      <c r="G163" s="132" t="s">
        <v>61</v>
      </c>
    </row>
    <row r="164" spans="1:7">
      <c r="A164" s="131">
        <v>163</v>
      </c>
      <c r="B164" s="132" t="s">
        <v>757</v>
      </c>
      <c r="C164" s="132" t="s">
        <v>696</v>
      </c>
      <c r="D164" s="132">
        <v>3</v>
      </c>
      <c r="E164" s="132" t="s">
        <v>771</v>
      </c>
      <c r="F164" s="132"/>
      <c r="G164" s="132" t="s">
        <v>61</v>
      </c>
    </row>
    <row r="165" spans="1:7">
      <c r="A165" s="131">
        <v>164</v>
      </c>
      <c r="B165" s="132" t="s">
        <v>757</v>
      </c>
      <c r="C165" s="132" t="s">
        <v>669</v>
      </c>
      <c r="D165" s="132">
        <v>1</v>
      </c>
      <c r="E165" s="132" t="s">
        <v>771</v>
      </c>
      <c r="F165" s="132"/>
      <c r="G165" s="132" t="s">
        <v>61</v>
      </c>
    </row>
    <row r="166" spans="1:7">
      <c r="A166" s="131">
        <v>165</v>
      </c>
      <c r="B166" s="132" t="s">
        <v>757</v>
      </c>
      <c r="C166" s="132" t="s">
        <v>711</v>
      </c>
      <c r="D166" s="132">
        <v>2</v>
      </c>
      <c r="E166" s="132" t="s">
        <v>771</v>
      </c>
      <c r="F166" s="132"/>
      <c r="G166" s="132" t="s">
        <v>61</v>
      </c>
    </row>
    <row r="167" spans="1:7">
      <c r="A167" s="131">
        <v>166</v>
      </c>
      <c r="B167" s="132" t="s">
        <v>757</v>
      </c>
      <c r="C167" s="132" t="s">
        <v>685</v>
      </c>
      <c r="D167" s="132">
        <v>1</v>
      </c>
      <c r="E167" s="132" t="s">
        <v>771</v>
      </c>
      <c r="F167" s="132"/>
      <c r="G167" s="132" t="s">
        <v>61</v>
      </c>
    </row>
    <row r="168" spans="1:7">
      <c r="A168" s="131">
        <v>167</v>
      </c>
      <c r="B168" s="132" t="s">
        <v>758</v>
      </c>
      <c r="C168" s="132" t="s">
        <v>615</v>
      </c>
      <c r="D168" s="132">
        <v>2</v>
      </c>
      <c r="E168" s="132" t="s">
        <v>771</v>
      </c>
      <c r="F168" s="132" t="s">
        <v>773</v>
      </c>
      <c r="G168" s="132" t="s">
        <v>61</v>
      </c>
    </row>
    <row r="169" spans="1:7">
      <c r="A169" s="131">
        <v>168</v>
      </c>
      <c r="B169" s="132" t="s">
        <v>758</v>
      </c>
      <c r="C169" s="132" t="s">
        <v>608</v>
      </c>
      <c r="D169" s="132">
        <v>2</v>
      </c>
      <c r="E169" s="132" t="s">
        <v>771</v>
      </c>
      <c r="F169" s="132"/>
      <c r="G169" s="132" t="s">
        <v>61</v>
      </c>
    </row>
    <row r="170" spans="1:7">
      <c r="A170" s="131">
        <v>169</v>
      </c>
      <c r="B170" s="132" t="s">
        <v>758</v>
      </c>
      <c r="C170" s="132" t="s">
        <v>672</v>
      </c>
      <c r="D170" s="132">
        <v>1</v>
      </c>
      <c r="E170" s="132" t="s">
        <v>771</v>
      </c>
      <c r="F170" s="132"/>
      <c r="G170" s="132" t="s">
        <v>61</v>
      </c>
    </row>
    <row r="171" spans="1:7">
      <c r="A171" s="131">
        <v>170</v>
      </c>
      <c r="B171" s="132" t="s">
        <v>758</v>
      </c>
      <c r="C171" s="132" t="s">
        <v>645</v>
      </c>
      <c r="D171" s="132">
        <v>1</v>
      </c>
      <c r="E171" s="132" t="s">
        <v>771</v>
      </c>
      <c r="F171" s="132" t="s">
        <v>773</v>
      </c>
      <c r="G171" s="132" t="s">
        <v>61</v>
      </c>
    </row>
    <row r="172" spans="1:7">
      <c r="A172" s="131">
        <v>171</v>
      </c>
      <c r="B172" s="132" t="s">
        <v>758</v>
      </c>
      <c r="C172" s="132" t="s">
        <v>702</v>
      </c>
      <c r="D172" s="132">
        <v>2</v>
      </c>
      <c r="E172" s="132" t="s">
        <v>771</v>
      </c>
      <c r="F172" s="132"/>
      <c r="G172" s="132" t="s">
        <v>61</v>
      </c>
    </row>
    <row r="173" spans="1:7">
      <c r="A173" s="131">
        <v>172</v>
      </c>
      <c r="B173" s="132" t="s">
        <v>759</v>
      </c>
      <c r="C173" s="132" t="s">
        <v>709</v>
      </c>
      <c r="D173" s="132">
        <v>2</v>
      </c>
      <c r="E173" s="132" t="s">
        <v>771</v>
      </c>
      <c r="F173" s="132"/>
      <c r="G173" s="132" t="s">
        <v>61</v>
      </c>
    </row>
    <row r="174" spans="1:7">
      <c r="A174" s="131">
        <v>173</v>
      </c>
      <c r="B174" s="132" t="s">
        <v>759</v>
      </c>
      <c r="C174" s="132" t="s">
        <v>688</v>
      </c>
      <c r="D174" s="132">
        <v>1</v>
      </c>
      <c r="E174" s="132" t="s">
        <v>771</v>
      </c>
      <c r="F174" s="132"/>
      <c r="G174" s="132" t="s">
        <v>61</v>
      </c>
    </row>
    <row r="175" spans="1:7">
      <c r="A175" s="131">
        <v>174</v>
      </c>
      <c r="B175" s="132" t="s">
        <v>759</v>
      </c>
      <c r="C175" s="132" t="s">
        <v>610</v>
      </c>
      <c r="D175" s="132">
        <v>1</v>
      </c>
      <c r="E175" s="132" t="s">
        <v>771</v>
      </c>
      <c r="F175" s="132"/>
      <c r="G175" s="132" t="s">
        <v>61</v>
      </c>
    </row>
    <row r="176" spans="1:7">
      <c r="A176" s="131">
        <v>175</v>
      </c>
      <c r="B176" s="132" t="s">
        <v>759</v>
      </c>
      <c r="C176" s="132" t="s">
        <v>731</v>
      </c>
      <c r="D176" s="132">
        <v>1</v>
      </c>
      <c r="E176" s="132" t="s">
        <v>771</v>
      </c>
      <c r="F176" s="132"/>
      <c r="G176" s="132" t="s">
        <v>61</v>
      </c>
    </row>
    <row r="177" spans="1:7">
      <c r="A177" s="131">
        <v>176</v>
      </c>
      <c r="B177" s="132" t="s">
        <v>759</v>
      </c>
      <c r="C177" s="132" t="s">
        <v>717</v>
      </c>
      <c r="D177" s="132">
        <v>1</v>
      </c>
      <c r="E177" s="132" t="s">
        <v>771</v>
      </c>
      <c r="F177" s="132"/>
      <c r="G177" s="132" t="s">
        <v>61</v>
      </c>
    </row>
    <row r="178" spans="1:7">
      <c r="A178" s="131">
        <v>177</v>
      </c>
      <c r="B178" s="132" t="s">
        <v>759</v>
      </c>
      <c r="C178" s="132" t="s">
        <v>606</v>
      </c>
      <c r="D178" s="132">
        <v>1</v>
      </c>
      <c r="E178" s="132" t="s">
        <v>771</v>
      </c>
      <c r="F178" s="132"/>
      <c r="G178" s="132" t="s">
        <v>61</v>
      </c>
    </row>
    <row r="179" spans="1:7">
      <c r="A179" s="131">
        <v>178</v>
      </c>
      <c r="B179" s="132" t="s">
        <v>759</v>
      </c>
      <c r="C179" s="132" t="s">
        <v>706</v>
      </c>
      <c r="D179" s="132">
        <v>1</v>
      </c>
      <c r="E179" s="132" t="s">
        <v>771</v>
      </c>
      <c r="F179" s="132"/>
      <c r="G179" s="132" t="s">
        <v>61</v>
      </c>
    </row>
    <row r="180" spans="1:7">
      <c r="A180" s="131">
        <v>179</v>
      </c>
      <c r="B180" s="132" t="s">
        <v>759</v>
      </c>
      <c r="C180" s="132" t="s">
        <v>609</v>
      </c>
      <c r="D180" s="132">
        <v>1</v>
      </c>
      <c r="E180" s="132" t="s">
        <v>771</v>
      </c>
      <c r="F180" s="132"/>
      <c r="G180" s="132" t="s">
        <v>61</v>
      </c>
    </row>
    <row r="181" spans="1:7">
      <c r="A181" s="131">
        <v>180</v>
      </c>
      <c r="B181" s="132" t="s">
        <v>759</v>
      </c>
      <c r="C181" s="132" t="s">
        <v>641</v>
      </c>
      <c r="D181" s="132">
        <v>3</v>
      </c>
      <c r="E181" s="132" t="s">
        <v>771</v>
      </c>
      <c r="F181" s="132" t="s">
        <v>780</v>
      </c>
      <c r="G181" s="132" t="s">
        <v>61</v>
      </c>
    </row>
    <row r="182" spans="1:7">
      <c r="A182" s="131">
        <v>181</v>
      </c>
      <c r="B182" s="132" t="s">
        <v>759</v>
      </c>
      <c r="C182" s="132" t="s">
        <v>683</v>
      </c>
      <c r="D182" s="132">
        <v>2</v>
      </c>
      <c r="E182" s="132" t="s">
        <v>771</v>
      </c>
      <c r="F182" s="132" t="s">
        <v>773</v>
      </c>
      <c r="G182" s="132" t="s">
        <v>61</v>
      </c>
    </row>
    <row r="183" spans="1:7">
      <c r="A183" s="131">
        <v>182</v>
      </c>
      <c r="B183" s="132" t="s">
        <v>759</v>
      </c>
      <c r="C183" s="132" t="s">
        <v>599</v>
      </c>
      <c r="D183" s="132">
        <v>1</v>
      </c>
      <c r="E183" s="132" t="s">
        <v>771</v>
      </c>
      <c r="F183" s="132" t="s">
        <v>773</v>
      </c>
      <c r="G183" s="132" t="s">
        <v>61</v>
      </c>
    </row>
    <row r="184" spans="1:7">
      <c r="A184" s="131">
        <v>183</v>
      </c>
      <c r="B184" s="132" t="s">
        <v>759</v>
      </c>
      <c r="C184" s="132" t="s">
        <v>624</v>
      </c>
      <c r="D184" s="132">
        <v>1</v>
      </c>
      <c r="E184" s="132" t="s">
        <v>771</v>
      </c>
      <c r="F184" s="132"/>
      <c r="G184" s="132" t="s">
        <v>61</v>
      </c>
    </row>
    <row r="185" spans="1:7">
      <c r="A185" s="131">
        <v>184</v>
      </c>
      <c r="B185" s="132" t="s">
        <v>760</v>
      </c>
      <c r="C185" s="132" t="s">
        <v>703</v>
      </c>
      <c r="D185" s="132">
        <v>1</v>
      </c>
      <c r="E185" s="132" t="s">
        <v>771</v>
      </c>
      <c r="F185" s="132"/>
      <c r="G185" s="132" t="s">
        <v>61</v>
      </c>
    </row>
    <row r="186" spans="1:7">
      <c r="A186" s="131">
        <v>185</v>
      </c>
      <c r="B186" s="132" t="s">
        <v>760</v>
      </c>
      <c r="C186" s="132" t="s">
        <v>662</v>
      </c>
      <c r="D186" s="132">
        <v>1</v>
      </c>
      <c r="E186" s="132" t="s">
        <v>771</v>
      </c>
      <c r="F186" s="132"/>
      <c r="G186" s="132" t="s">
        <v>61</v>
      </c>
    </row>
    <row r="187" spans="1:7">
      <c r="A187" s="131">
        <v>186</v>
      </c>
      <c r="B187" s="132" t="s">
        <v>760</v>
      </c>
      <c r="C187" s="132" t="s">
        <v>720</v>
      </c>
      <c r="D187" s="132">
        <v>1</v>
      </c>
      <c r="E187" s="132" t="s">
        <v>771</v>
      </c>
      <c r="F187" s="132"/>
      <c r="G187" s="132" t="s">
        <v>61</v>
      </c>
    </row>
    <row r="188" spans="1:7">
      <c r="A188" s="131">
        <v>187</v>
      </c>
      <c r="B188" s="132" t="s">
        <v>760</v>
      </c>
      <c r="C188" s="132" t="s">
        <v>729</v>
      </c>
      <c r="D188" s="132">
        <v>1</v>
      </c>
      <c r="E188" s="132" t="s">
        <v>771</v>
      </c>
      <c r="F188" s="132"/>
      <c r="G188" s="132" t="s">
        <v>61</v>
      </c>
    </row>
    <row r="189" spans="1:7">
      <c r="A189" s="131">
        <v>188</v>
      </c>
      <c r="B189" s="132" t="s">
        <v>760</v>
      </c>
      <c r="C189" s="132" t="s">
        <v>660</v>
      </c>
      <c r="D189" s="132">
        <v>2</v>
      </c>
      <c r="E189" s="132" t="s">
        <v>771</v>
      </c>
      <c r="F189" s="132"/>
      <c r="G189" s="132" t="s">
        <v>61</v>
      </c>
    </row>
    <row r="190" spans="1:7">
      <c r="A190" s="131">
        <v>189</v>
      </c>
      <c r="B190" s="132" t="s">
        <v>760</v>
      </c>
      <c r="C190" s="132" t="s">
        <v>657</v>
      </c>
      <c r="D190" s="132">
        <v>1</v>
      </c>
      <c r="E190" s="132" t="s">
        <v>771</v>
      </c>
      <c r="F190" s="132"/>
      <c r="G190" s="132" t="s">
        <v>61</v>
      </c>
    </row>
    <row r="191" spans="1:7">
      <c r="A191" s="131">
        <v>190</v>
      </c>
      <c r="B191" s="132" t="s">
        <v>760</v>
      </c>
      <c r="C191" s="132" t="s">
        <v>714</v>
      </c>
      <c r="D191" s="132">
        <v>3</v>
      </c>
      <c r="E191" s="132" t="s">
        <v>771</v>
      </c>
      <c r="F191" s="132"/>
      <c r="G191" s="132" t="s">
        <v>61</v>
      </c>
    </row>
    <row r="192" spans="1:7">
      <c r="A192" s="131">
        <v>191</v>
      </c>
      <c r="B192" s="132" t="s">
        <v>760</v>
      </c>
      <c r="C192" s="132" t="s">
        <v>659</v>
      </c>
      <c r="D192" s="132">
        <v>2</v>
      </c>
      <c r="E192" s="132" t="s">
        <v>771</v>
      </c>
      <c r="F192" s="132"/>
      <c r="G192" s="132" t="s">
        <v>61</v>
      </c>
    </row>
    <row r="193" spans="1:7">
      <c r="A193" s="131">
        <v>192</v>
      </c>
      <c r="B193" s="132" t="s">
        <v>760</v>
      </c>
      <c r="C193" s="132" t="s">
        <v>682</v>
      </c>
      <c r="D193" s="132">
        <v>2</v>
      </c>
      <c r="E193" s="132" t="s">
        <v>771</v>
      </c>
      <c r="F193" s="132"/>
      <c r="G193" s="132" t="s">
        <v>61</v>
      </c>
    </row>
    <row r="194" spans="1:7">
      <c r="A194" s="131">
        <v>193</v>
      </c>
      <c r="B194" s="132" t="s">
        <v>760</v>
      </c>
      <c r="C194" s="132" t="s">
        <v>611</v>
      </c>
      <c r="D194" s="132">
        <v>1</v>
      </c>
      <c r="E194" s="132" t="s">
        <v>771</v>
      </c>
      <c r="F194" s="132"/>
      <c r="G194" s="132" t="s">
        <v>61</v>
      </c>
    </row>
    <row r="195" spans="1:7">
      <c r="A195" s="131">
        <v>194</v>
      </c>
      <c r="B195" s="132" t="s">
        <v>760</v>
      </c>
      <c r="C195" s="132" t="s">
        <v>628</v>
      </c>
      <c r="D195" s="132">
        <v>1</v>
      </c>
      <c r="E195" s="132" t="s">
        <v>771</v>
      </c>
      <c r="F195" s="132"/>
      <c r="G195" s="132" t="s">
        <v>61</v>
      </c>
    </row>
    <row r="196" spans="1:7">
      <c r="A196" s="131">
        <v>195</v>
      </c>
      <c r="B196" s="132" t="s">
        <v>760</v>
      </c>
      <c r="C196" s="132" t="s">
        <v>734</v>
      </c>
      <c r="D196" s="132">
        <v>2</v>
      </c>
      <c r="E196" s="132" t="s">
        <v>771</v>
      </c>
      <c r="F196" s="132"/>
      <c r="G196" s="132" t="s">
        <v>61</v>
      </c>
    </row>
    <row r="197" spans="1:7">
      <c r="A197" s="131">
        <v>196</v>
      </c>
      <c r="B197" s="132" t="s">
        <v>760</v>
      </c>
      <c r="C197" s="132" t="s">
        <v>616</v>
      </c>
      <c r="D197" s="132">
        <v>2</v>
      </c>
      <c r="E197" s="132" t="s">
        <v>771</v>
      </c>
      <c r="F197" s="132"/>
      <c r="G197" s="132" t="s">
        <v>61</v>
      </c>
    </row>
    <row r="198" spans="1:7">
      <c r="A198" s="131">
        <v>197</v>
      </c>
      <c r="B198" s="132" t="s">
        <v>760</v>
      </c>
      <c r="C198" s="132" t="s">
        <v>707</v>
      </c>
      <c r="D198" s="132">
        <v>1</v>
      </c>
      <c r="E198" s="132" t="s">
        <v>771</v>
      </c>
      <c r="F198" s="132" t="s">
        <v>781</v>
      </c>
      <c r="G198" s="132" t="s">
        <v>61</v>
      </c>
    </row>
    <row r="199" spans="1:7">
      <c r="A199" s="131">
        <v>198</v>
      </c>
      <c r="B199" s="132" t="s">
        <v>760</v>
      </c>
      <c r="C199" s="132" t="s">
        <v>708</v>
      </c>
      <c r="D199" s="132">
        <v>1</v>
      </c>
      <c r="E199" s="132" t="s">
        <v>771</v>
      </c>
      <c r="F199" s="137"/>
      <c r="G199" s="132" t="s">
        <v>61</v>
      </c>
    </row>
    <row r="200" spans="1:7">
      <c r="A200" s="131">
        <v>199</v>
      </c>
      <c r="B200" s="132" t="s">
        <v>760</v>
      </c>
      <c r="C200" s="132" t="s">
        <v>671</v>
      </c>
      <c r="D200" s="132">
        <v>1</v>
      </c>
      <c r="E200" s="132" t="s">
        <v>771</v>
      </c>
      <c r="F200" s="137"/>
      <c r="G200" s="132" t="s">
        <v>61</v>
      </c>
    </row>
    <row r="201" spans="1:7">
      <c r="A201" s="131">
        <v>200</v>
      </c>
      <c r="B201" s="132" t="s">
        <v>760</v>
      </c>
      <c r="C201" s="132" t="s">
        <v>635</v>
      </c>
      <c r="D201" s="132">
        <v>1</v>
      </c>
      <c r="E201" s="132" t="s">
        <v>771</v>
      </c>
      <c r="F201" s="137"/>
      <c r="G201" s="132" t="s">
        <v>61</v>
      </c>
    </row>
    <row r="202" spans="1:7">
      <c r="A202" s="131">
        <v>201</v>
      </c>
      <c r="B202" s="132" t="s">
        <v>760</v>
      </c>
      <c r="C202" s="132" t="s">
        <v>679</v>
      </c>
      <c r="D202" s="132">
        <v>2</v>
      </c>
      <c r="E202" s="132" t="s">
        <v>771</v>
      </c>
      <c r="F202" s="137"/>
      <c r="G202" s="132" t="s">
        <v>61</v>
      </c>
    </row>
    <row r="203" spans="1:7">
      <c r="A203" s="131">
        <v>202</v>
      </c>
      <c r="B203" s="132" t="s">
        <v>761</v>
      </c>
      <c r="C203" s="132" t="s">
        <v>653</v>
      </c>
      <c r="D203" s="132">
        <v>2</v>
      </c>
      <c r="E203" s="132" t="s">
        <v>771</v>
      </c>
      <c r="F203" s="137"/>
      <c r="G203" s="132" t="s">
        <v>61</v>
      </c>
    </row>
    <row r="204" spans="1:7">
      <c r="A204" s="131">
        <v>203</v>
      </c>
      <c r="B204" s="132" t="s">
        <v>761</v>
      </c>
      <c r="C204" s="132" t="s">
        <v>733</v>
      </c>
      <c r="D204" s="132">
        <v>1</v>
      </c>
      <c r="E204" s="132" t="s">
        <v>771</v>
      </c>
      <c r="F204" s="137"/>
      <c r="G204" s="132" t="s">
        <v>61</v>
      </c>
    </row>
    <row r="205" spans="1:7">
      <c r="A205" s="131">
        <v>204</v>
      </c>
      <c r="B205" s="132" t="s">
        <v>761</v>
      </c>
      <c r="C205" s="132" t="s">
        <v>632</v>
      </c>
      <c r="D205" s="132">
        <v>1</v>
      </c>
      <c r="E205" s="132" t="s">
        <v>771</v>
      </c>
      <c r="F205" s="137"/>
      <c r="G205" s="132" t="s">
        <v>61</v>
      </c>
    </row>
    <row r="206" spans="1:7">
      <c r="A206" s="131">
        <v>205</v>
      </c>
      <c r="B206" s="132" t="s">
        <v>761</v>
      </c>
      <c r="C206" s="132" t="s">
        <v>655</v>
      </c>
      <c r="D206" s="132">
        <v>2</v>
      </c>
      <c r="E206" s="132" t="s">
        <v>771</v>
      </c>
      <c r="F206" s="137"/>
      <c r="G206" s="132" t="s">
        <v>61</v>
      </c>
    </row>
    <row r="207" spans="1:7">
      <c r="A207" s="131">
        <v>206</v>
      </c>
      <c r="B207" s="132" t="s">
        <v>761</v>
      </c>
      <c r="C207" s="132" t="s">
        <v>680</v>
      </c>
      <c r="D207" s="132">
        <v>1</v>
      </c>
      <c r="E207" s="132" t="s">
        <v>771</v>
      </c>
      <c r="F207" s="137"/>
      <c r="G207" s="132" t="s">
        <v>61</v>
      </c>
    </row>
    <row r="208" spans="1:7">
      <c r="A208" s="131">
        <v>207</v>
      </c>
      <c r="B208" s="132" t="s">
        <v>761</v>
      </c>
      <c r="C208" s="132" t="s">
        <v>690</v>
      </c>
      <c r="D208" s="132">
        <v>1</v>
      </c>
      <c r="E208" s="132" t="s">
        <v>771</v>
      </c>
      <c r="F208" s="137"/>
      <c r="G208" s="132" t="s">
        <v>61</v>
      </c>
    </row>
  </sheetData>
  <phoneticPr fontId="31"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3:D13"/>
  <sheetViews>
    <sheetView workbookViewId="0">
      <selection activeCell="C15" sqref="C15"/>
    </sheetView>
  </sheetViews>
  <sheetFormatPr defaultColWidth="9" defaultRowHeight="14"/>
  <cols>
    <col min="1" max="1" width="33.83203125" customWidth="1"/>
    <col min="2" max="2" width="19.83203125" customWidth="1"/>
    <col min="3" max="3" width="15.58203125" customWidth="1"/>
    <col min="4" max="4" width="19.83203125" customWidth="1"/>
  </cols>
  <sheetData>
    <row r="3" spans="1:4">
      <c r="A3" t="s">
        <v>588</v>
      </c>
      <c r="B3" t="s">
        <v>782</v>
      </c>
      <c r="C3" t="s">
        <v>591</v>
      </c>
      <c r="D3" t="s">
        <v>590</v>
      </c>
    </row>
    <row r="4" spans="1:4">
      <c r="A4" s="128" t="s">
        <v>595</v>
      </c>
      <c r="B4" s="125">
        <v>18.23</v>
      </c>
      <c r="C4" s="125">
        <v>1000</v>
      </c>
      <c r="D4" s="125">
        <v>5.75</v>
      </c>
    </row>
    <row r="5" spans="1:4">
      <c r="A5" s="128" t="s">
        <v>619</v>
      </c>
      <c r="B5" s="125">
        <v>107.66</v>
      </c>
      <c r="C5" s="125">
        <v>9000</v>
      </c>
      <c r="D5" s="125">
        <v>71.510000000000005</v>
      </c>
    </row>
    <row r="6" spans="1:4">
      <c r="A6" s="128" t="s">
        <v>630</v>
      </c>
      <c r="B6" s="125">
        <v>12</v>
      </c>
      <c r="C6" s="125">
        <v>1000</v>
      </c>
      <c r="D6" s="125">
        <v>6.29</v>
      </c>
    </row>
    <row r="7" spans="1:4">
      <c r="A7" s="128" t="s">
        <v>648</v>
      </c>
      <c r="B7" s="125">
        <v>6.97</v>
      </c>
      <c r="C7" s="125">
        <v>400</v>
      </c>
      <c r="D7" s="125">
        <v>2.4</v>
      </c>
    </row>
    <row r="8" spans="1:4">
      <c r="A8" s="128" t="s">
        <v>701</v>
      </c>
      <c r="B8" s="125">
        <v>13.1</v>
      </c>
      <c r="C8" s="125">
        <v>600</v>
      </c>
      <c r="D8" s="125">
        <v>4.6100000000000003</v>
      </c>
    </row>
    <row r="9" spans="1:4">
      <c r="A9" s="128" t="s">
        <v>581</v>
      </c>
      <c r="B9" s="125">
        <v>22.92</v>
      </c>
      <c r="C9" s="125">
        <v>1000</v>
      </c>
      <c r="D9" s="125">
        <v>5.63</v>
      </c>
    </row>
    <row r="10" spans="1:4">
      <c r="A10" s="128" t="s">
        <v>592</v>
      </c>
      <c r="B10" s="125">
        <v>21.86</v>
      </c>
      <c r="C10" s="125">
        <v>2000</v>
      </c>
      <c r="D10" s="125">
        <v>10.43</v>
      </c>
    </row>
    <row r="11" spans="1:4">
      <c r="A11" s="128" t="s">
        <v>739</v>
      </c>
      <c r="B11" s="125">
        <v>29.55</v>
      </c>
      <c r="C11" s="125">
        <v>1000</v>
      </c>
      <c r="D11" s="125">
        <v>10.7</v>
      </c>
    </row>
    <row r="12" spans="1:4">
      <c r="A12" s="128" t="s">
        <v>763</v>
      </c>
    </row>
    <row r="13" spans="1:4">
      <c r="A13" s="128" t="s">
        <v>593</v>
      </c>
      <c r="B13">
        <v>232.29</v>
      </c>
      <c r="C13">
        <v>16000</v>
      </c>
      <c r="D13">
        <v>117.32</v>
      </c>
    </row>
  </sheetData>
  <phoneticPr fontId="31"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D116"/>
  <sheetViews>
    <sheetView topLeftCell="H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42">
      <c r="A4" s="9">
        <v>1</v>
      </c>
      <c r="B4" s="9"/>
      <c r="C4" s="9"/>
      <c r="D4" s="9"/>
      <c r="E4" s="9"/>
      <c r="F4" s="9"/>
      <c r="G4" s="9"/>
      <c r="H4" s="9"/>
      <c r="I4" s="9"/>
      <c r="J4" s="9"/>
      <c r="K4" s="9"/>
      <c r="L4" s="9"/>
      <c r="M4" s="20"/>
      <c r="N4" s="16"/>
      <c r="O4" s="16"/>
      <c r="P4" s="9">
        <f>P23-N4</f>
        <v>0</v>
      </c>
      <c r="Q4" s="22">
        <f>SUM(Q5:Q25)</f>
        <v>0</v>
      </c>
      <c r="R4" s="22"/>
      <c r="S4" s="9"/>
      <c r="T4" s="22">
        <f>SUM(T5:T25)</f>
        <v>0</v>
      </c>
      <c r="U4" s="23"/>
      <c r="V4" s="16"/>
      <c r="W4" s="9"/>
      <c r="X4" s="24"/>
      <c r="Y4" s="9">
        <f>ROUNDDOWN(IF((O4-N4+1)*K4*X4/365&gt;R4,R4,(O4-N4+1)*K4*X4/365),2)</f>
        <v>0</v>
      </c>
      <c r="Z4" s="22">
        <f>R4-Y4</f>
        <v>0</v>
      </c>
      <c r="AA4" s="22"/>
      <c r="AB4" s="9" t="s">
        <v>783</v>
      </c>
      <c r="AD4" s="28">
        <f>(O4-N4+1)*K4*X4/365</f>
        <v>0</v>
      </c>
    </row>
    <row r="5" spans="1:30" s="2" customFormat="1">
      <c r="A5" s="10"/>
      <c r="B5" s="10"/>
      <c r="C5" s="10"/>
      <c r="D5" s="10"/>
      <c r="E5" s="10"/>
      <c r="F5" s="10"/>
      <c r="G5" s="10"/>
      <c r="H5" s="10"/>
      <c r="I5" s="10"/>
      <c r="J5" s="10"/>
      <c r="K5" s="10"/>
      <c r="L5" s="10"/>
      <c r="M5" s="17"/>
      <c r="N5" s="18"/>
      <c r="O5" s="18"/>
      <c r="P5" s="19"/>
      <c r="Q5" s="25"/>
      <c r="R5" s="10"/>
      <c r="S5" s="19">
        <f>P5</f>
        <v>0</v>
      </c>
      <c r="T5" s="25">
        <f>(S5-N4)/360*$U$4*$K$4</f>
        <v>0</v>
      </c>
      <c r="U5" s="25">
        <f>T5-Q5</f>
        <v>0</v>
      </c>
      <c r="V5" s="18"/>
      <c r="W5" s="10"/>
      <c r="X5" s="10"/>
      <c r="Y5" s="10">
        <f>ROUNDDOWN((V5-N4)*K4*X4/365,2)</f>
        <v>0</v>
      </c>
      <c r="Z5" s="10"/>
      <c r="AA5" s="10"/>
      <c r="AB5" s="10"/>
    </row>
    <row r="6" spans="1:30" s="2" customFormat="1">
      <c r="A6" s="10"/>
      <c r="B6" s="10"/>
      <c r="C6" s="10"/>
      <c r="D6" s="10"/>
      <c r="E6" s="10"/>
      <c r="F6" s="10"/>
      <c r="G6" s="10"/>
      <c r="H6" s="10"/>
      <c r="I6" s="10"/>
      <c r="J6" s="10"/>
      <c r="K6" s="10"/>
      <c r="L6" s="10"/>
      <c r="M6" s="17"/>
      <c r="N6" s="18"/>
      <c r="O6" s="18"/>
      <c r="P6" s="19"/>
      <c r="Q6" s="25"/>
      <c r="R6" s="10"/>
      <c r="S6" s="19">
        <f t="shared" ref="S6:S11" si="0">P6</f>
        <v>0</v>
      </c>
      <c r="T6" s="25">
        <f>(S6-S5)*$K$4*$U$4/360</f>
        <v>0</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c r="Q7" s="25"/>
      <c r="R7" s="10"/>
      <c r="S7" s="19">
        <f t="shared" si="0"/>
        <v>0</v>
      </c>
      <c r="T7" s="25">
        <f t="shared" ref="T7:T11" si="1">(S7-S6)*$K$4*$U$4/360</f>
        <v>0</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c r="Q8" s="25"/>
      <c r="R8" s="10"/>
      <c r="S8" s="19">
        <f t="shared" si="0"/>
        <v>0</v>
      </c>
      <c r="T8" s="25">
        <f t="shared" si="1"/>
        <v>0</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c r="Q9" s="25"/>
      <c r="R9" s="10"/>
      <c r="S9" s="19">
        <f t="shared" si="0"/>
        <v>0</v>
      </c>
      <c r="T9" s="25">
        <f t="shared" si="1"/>
        <v>0</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c r="Q10" s="25"/>
      <c r="R10" s="10"/>
      <c r="S10" s="19">
        <f t="shared" si="0"/>
        <v>0</v>
      </c>
      <c r="T10" s="25">
        <f t="shared" si="1"/>
        <v>0</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c r="Q11" s="25"/>
      <c r="R11" s="10"/>
      <c r="S11" s="19">
        <f t="shared" si="0"/>
        <v>0</v>
      </c>
      <c r="T11" s="25">
        <f t="shared" si="1"/>
        <v>0</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c r="Q12" s="25"/>
      <c r="R12" s="10"/>
      <c r="S12" s="19">
        <f t="shared" ref="S12:S18" si="3">P12</f>
        <v>0</v>
      </c>
      <c r="T12" s="25">
        <f t="shared" ref="T12:T18" si="4">(S12-S11)*$K$4*$U$4/360</f>
        <v>0</v>
      </c>
      <c r="U12" s="25">
        <f t="shared" ref="U12:U18" si="5">T12-Q12</f>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c r="Q13" s="25"/>
      <c r="R13" s="10"/>
      <c r="S13" s="19">
        <f t="shared" si="3"/>
        <v>0</v>
      </c>
      <c r="T13" s="25">
        <f t="shared" si="4"/>
        <v>0</v>
      </c>
      <c r="U13" s="25">
        <f t="shared" si="5"/>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c r="Q14" s="25"/>
      <c r="R14" s="10"/>
      <c r="S14" s="19">
        <f t="shared" si="3"/>
        <v>0</v>
      </c>
      <c r="T14" s="25">
        <f t="shared" si="4"/>
        <v>0</v>
      </c>
      <c r="U14" s="25">
        <f t="shared" si="5"/>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c r="Q15" s="25"/>
      <c r="R15" s="10"/>
      <c r="S15" s="19">
        <f t="shared" si="3"/>
        <v>0</v>
      </c>
      <c r="T15" s="25">
        <f t="shared" si="4"/>
        <v>0</v>
      </c>
      <c r="U15" s="25">
        <f t="shared" si="5"/>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c r="Q16" s="25"/>
      <c r="R16" s="10"/>
      <c r="S16" s="19">
        <f t="shared" si="3"/>
        <v>0</v>
      </c>
      <c r="T16" s="25">
        <f t="shared" si="4"/>
        <v>0</v>
      </c>
      <c r="U16" s="25">
        <f t="shared" si="5"/>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c r="Q17" s="25"/>
      <c r="R17" s="10"/>
      <c r="S17" s="19">
        <f t="shared" si="3"/>
        <v>0</v>
      </c>
      <c r="T17" s="25">
        <f t="shared" si="4"/>
        <v>0</v>
      </c>
      <c r="U17" s="25">
        <f t="shared" si="5"/>
        <v>0</v>
      </c>
      <c r="V17" s="10"/>
      <c r="W17" s="10"/>
      <c r="X17" s="10"/>
      <c r="Y17" s="10"/>
      <c r="Z17" s="10"/>
      <c r="AA17" s="10"/>
      <c r="AB17" s="10"/>
    </row>
    <row r="18" spans="1:30" s="2" customFormat="1">
      <c r="A18" s="10"/>
      <c r="B18" s="10"/>
      <c r="C18" s="10"/>
      <c r="D18" s="10"/>
      <c r="E18" s="10"/>
      <c r="F18" s="10"/>
      <c r="G18" s="10"/>
      <c r="H18" s="10"/>
      <c r="I18" s="10"/>
      <c r="J18" s="10"/>
      <c r="K18" s="10"/>
      <c r="L18" s="10"/>
      <c r="M18" s="17"/>
      <c r="N18" s="18"/>
      <c r="O18" s="18"/>
      <c r="P18" s="19"/>
      <c r="Q18" s="25"/>
      <c r="R18" s="10"/>
      <c r="S18" s="19">
        <f t="shared" si="3"/>
        <v>0</v>
      </c>
      <c r="T18" s="25">
        <f t="shared" si="4"/>
        <v>0</v>
      </c>
      <c r="U18" s="25">
        <f t="shared" si="5"/>
        <v>0</v>
      </c>
      <c r="V18" s="10"/>
      <c r="W18" s="10"/>
      <c r="X18" s="10"/>
      <c r="Y18" s="10"/>
      <c r="Z18" s="10"/>
      <c r="AA18" s="10"/>
      <c r="AB18" s="10"/>
    </row>
    <row r="19" spans="1:30" s="2" customFormat="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customHeight="1">
      <c r="A26" s="9">
        <v>2</v>
      </c>
      <c r="B26" s="9">
        <f>B4</f>
        <v>0</v>
      </c>
      <c r="C26" s="9">
        <f t="shared" ref="C26:G26" si="6">C4</f>
        <v>0</v>
      </c>
      <c r="D26" s="9">
        <f t="shared" si="6"/>
        <v>0</v>
      </c>
      <c r="E26" s="9">
        <f t="shared" si="6"/>
        <v>0</v>
      </c>
      <c r="F26" s="9">
        <f t="shared" si="6"/>
        <v>0</v>
      </c>
      <c r="G26" s="9">
        <f t="shared" si="6"/>
        <v>0</v>
      </c>
      <c r="H26" s="9"/>
      <c r="I26" s="9"/>
      <c r="J26" s="9"/>
      <c r="K26" s="9"/>
      <c r="L26" s="9"/>
      <c r="M26" s="20"/>
      <c r="N26" s="16"/>
      <c r="O26" s="16"/>
      <c r="P26" s="9">
        <f>P44-N26</f>
        <v>0</v>
      </c>
      <c r="Q26" s="22">
        <f>SUM(Q27:Q47)</f>
        <v>0</v>
      </c>
      <c r="R26" s="127"/>
      <c r="S26" s="9"/>
      <c r="T26" s="9">
        <f>SUM(T27:T47)</f>
        <v>0</v>
      </c>
      <c r="U26" s="23"/>
      <c r="V26" s="16"/>
      <c r="W26" s="9"/>
      <c r="X26" s="24"/>
      <c r="Y26" s="9">
        <f>ROUNDDOWN(IF((O26-N26+1)*K26*X26/365&gt;R26,R26,(O26-N26+1)*K26*X26/365),2)</f>
        <v>0</v>
      </c>
      <c r="Z26" s="9">
        <f>R26-Y26</f>
        <v>0</v>
      </c>
      <c r="AA26" s="9"/>
      <c r="AB26" s="9"/>
      <c r="AD26" s="1">
        <f>(O26-N26+1)*K26*X26/365</f>
        <v>0</v>
      </c>
    </row>
    <row r="27" spans="1:30" s="2" customFormat="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c r="A28" s="10"/>
      <c r="B28" s="10"/>
      <c r="C28" s="10"/>
      <c r="D28" s="10"/>
      <c r="E28" s="10"/>
      <c r="F28" s="10"/>
      <c r="G28" s="10"/>
      <c r="H28" s="10"/>
      <c r="I28" s="10"/>
      <c r="J28" s="10"/>
      <c r="K28" s="10"/>
      <c r="L28" s="10"/>
      <c r="M28" s="17"/>
      <c r="N28" s="18"/>
      <c r="O28" s="18"/>
      <c r="P28" s="19"/>
      <c r="Q28" s="25"/>
      <c r="R28" s="10"/>
      <c r="S28" s="19">
        <f t="shared" ref="S28:S36" si="7">P28</f>
        <v>0</v>
      </c>
      <c r="T28" s="25">
        <f>(S28-S27)*$U$26*$K$26/360</f>
        <v>0</v>
      </c>
      <c r="U28" s="25">
        <f t="shared" ref="U28:U37" si="8">T28-Q28</f>
        <v>0</v>
      </c>
      <c r="V28" s="10"/>
      <c r="W28" s="10"/>
      <c r="X28" s="10"/>
      <c r="Y28" s="29">
        <f>ROUNDDOWN((O26-V27+1)*(K26-W27)*X26/365,2)</f>
        <v>0</v>
      </c>
      <c r="Z28" s="10"/>
      <c r="AA28" s="10"/>
      <c r="AB28" s="10"/>
    </row>
    <row r="29" spans="1:30" s="2" customFormat="1">
      <c r="A29" s="10"/>
      <c r="B29" s="10"/>
      <c r="C29" s="10"/>
      <c r="D29" s="10"/>
      <c r="E29" s="10"/>
      <c r="F29" s="10"/>
      <c r="G29" s="10"/>
      <c r="H29" s="10"/>
      <c r="I29" s="10"/>
      <c r="J29" s="10"/>
      <c r="K29" s="10"/>
      <c r="L29" s="10"/>
      <c r="M29" s="17"/>
      <c r="N29" s="18"/>
      <c r="O29" s="18"/>
      <c r="P29" s="19"/>
      <c r="Q29" s="25"/>
      <c r="R29" s="10"/>
      <c r="S29" s="19">
        <f t="shared" si="7"/>
        <v>0</v>
      </c>
      <c r="T29" s="25">
        <f t="shared" ref="T29:T36" si="9">(S29-S28)*$U$26*$K$26/360</f>
        <v>0</v>
      </c>
      <c r="U29" s="25">
        <f t="shared" si="8"/>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c r="Q30" s="25"/>
      <c r="R30" s="10"/>
      <c r="S30" s="19">
        <f t="shared" si="7"/>
        <v>0</v>
      </c>
      <c r="T30" s="25">
        <f t="shared" si="9"/>
        <v>0</v>
      </c>
      <c r="U30" s="25">
        <f t="shared" si="8"/>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c r="Q31" s="25"/>
      <c r="R31" s="10"/>
      <c r="S31" s="19">
        <f t="shared" si="7"/>
        <v>0</v>
      </c>
      <c r="T31" s="25">
        <f t="shared" si="9"/>
        <v>0</v>
      </c>
      <c r="U31" s="25">
        <f t="shared" si="8"/>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c r="Q32" s="25"/>
      <c r="R32" s="10"/>
      <c r="S32" s="19">
        <f t="shared" si="7"/>
        <v>0</v>
      </c>
      <c r="T32" s="25">
        <f t="shared" si="9"/>
        <v>0</v>
      </c>
      <c r="U32" s="25">
        <f t="shared" si="8"/>
        <v>0</v>
      </c>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c r="Q33" s="25"/>
      <c r="R33" s="10"/>
      <c r="S33" s="19">
        <f t="shared" si="7"/>
        <v>0</v>
      </c>
      <c r="T33" s="25">
        <f t="shared" si="9"/>
        <v>0</v>
      </c>
      <c r="U33" s="25">
        <f t="shared" si="8"/>
        <v>0</v>
      </c>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c r="Q34" s="25"/>
      <c r="R34" s="10"/>
      <c r="S34" s="19">
        <f t="shared" si="7"/>
        <v>0</v>
      </c>
      <c r="T34" s="25">
        <f t="shared" si="9"/>
        <v>0</v>
      </c>
      <c r="U34" s="25">
        <f t="shared" si="8"/>
        <v>0</v>
      </c>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c r="Q35" s="25"/>
      <c r="R35" s="10"/>
      <c r="S35" s="19">
        <f t="shared" si="7"/>
        <v>0</v>
      </c>
      <c r="T35" s="25">
        <f t="shared" si="9"/>
        <v>0</v>
      </c>
      <c r="U35" s="25">
        <f t="shared" si="8"/>
        <v>0</v>
      </c>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c r="Q36" s="25"/>
      <c r="R36" s="10"/>
      <c r="S36" s="19">
        <f t="shared" si="7"/>
        <v>0</v>
      </c>
      <c r="T36" s="25">
        <f t="shared" si="9"/>
        <v>0</v>
      </c>
      <c r="U36" s="25">
        <f t="shared" si="8"/>
        <v>0</v>
      </c>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c r="Q37" s="25"/>
      <c r="R37" s="10"/>
      <c r="S37" s="19"/>
      <c r="T37" s="25"/>
      <c r="U37" s="25">
        <f t="shared" si="8"/>
        <v>0</v>
      </c>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idden="1">
      <c r="A48" s="9">
        <v>3</v>
      </c>
      <c r="B48" s="9">
        <f>B26</f>
        <v>0</v>
      </c>
      <c r="C48" s="9">
        <f t="shared" ref="C48:G48" si="10">C26</f>
        <v>0</v>
      </c>
      <c r="D48" s="9">
        <f t="shared" si="10"/>
        <v>0</v>
      </c>
      <c r="E48" s="9">
        <f t="shared" si="10"/>
        <v>0</v>
      </c>
      <c r="F48" s="9">
        <f t="shared" si="10"/>
        <v>0</v>
      </c>
      <c r="G48" s="9">
        <f t="shared" si="10"/>
        <v>0</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11">P50</f>
        <v>0</v>
      </c>
      <c r="T50" s="25">
        <f>(S50-S49)*$U$48*$K$48/360</f>
        <v>0</v>
      </c>
      <c r="U50" s="25">
        <f t="shared" ref="U50" si="12">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idden="1">
      <c r="A70" s="9">
        <v>4</v>
      </c>
      <c r="B70" s="9">
        <f>B48</f>
        <v>0</v>
      </c>
      <c r="C70" s="9">
        <f t="shared" ref="C70:G70" si="13">C48</f>
        <v>0</v>
      </c>
      <c r="D70" s="9">
        <f t="shared" si="13"/>
        <v>0</v>
      </c>
      <c r="E70" s="9">
        <f t="shared" si="13"/>
        <v>0</v>
      </c>
      <c r="F70" s="9">
        <f t="shared" si="13"/>
        <v>0</v>
      </c>
      <c r="G70" s="9">
        <f t="shared" si="13"/>
        <v>0</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idden="1">
      <c r="A92" s="9">
        <v>5</v>
      </c>
      <c r="B92" s="9">
        <f>B70</f>
        <v>0</v>
      </c>
      <c r="C92" s="9">
        <f t="shared" ref="C92:G92" si="14">C70</f>
        <v>0</v>
      </c>
      <c r="D92" s="9">
        <f t="shared" si="14"/>
        <v>0</v>
      </c>
      <c r="E92" s="9">
        <f t="shared" si="14"/>
        <v>0</v>
      </c>
      <c r="F92" s="9">
        <f t="shared" si="14"/>
        <v>0</v>
      </c>
      <c r="G92" s="9">
        <f t="shared" si="14"/>
        <v>0</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0</v>
      </c>
      <c r="L114" s="9"/>
      <c r="M114" s="20"/>
      <c r="N114" s="16"/>
      <c r="O114" s="16"/>
      <c r="P114" s="9"/>
      <c r="Q114" s="9"/>
      <c r="R114" s="22">
        <f>R92+R70+R48+R26+R4</f>
        <v>0</v>
      </c>
      <c r="S114" s="9"/>
      <c r="T114" s="9"/>
      <c r="U114" s="9"/>
      <c r="V114" s="9"/>
      <c r="W114" s="9"/>
      <c r="X114" s="9"/>
      <c r="Y114" s="9">
        <f>Y92+Y70+Y48+Y26++Y4</f>
        <v>0</v>
      </c>
      <c r="Z114" s="9"/>
      <c r="AA114" s="9"/>
      <c r="AB114" s="9"/>
    </row>
    <row r="115" spans="1:28">
      <c r="I115" t="s">
        <v>49</v>
      </c>
      <c r="K115">
        <f>IF(K114&gt;3000,K116,K114)</f>
        <v>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116"/>
  <sheetViews>
    <sheetView topLeftCell="H1" zoomScale="70" zoomScaleNormal="70" workbookViewId="0">
      <pane ySplit="3" topLeftCell="A4" activePane="bottomLeft" state="frozen"/>
      <selection pane="bottomLeft" activeCell="P5" sqref="P5"/>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四川携光生物技术有限公司审计明细表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113</v>
      </c>
      <c r="C4" s="9" t="s">
        <v>32</v>
      </c>
      <c r="D4" s="9" t="s">
        <v>114</v>
      </c>
      <c r="E4" s="9" t="s">
        <v>101</v>
      </c>
      <c r="F4" s="9" t="s">
        <v>35</v>
      </c>
      <c r="G4" s="9" t="s">
        <v>115</v>
      </c>
      <c r="H4" s="9" t="s">
        <v>56</v>
      </c>
      <c r="I4" s="9" t="s">
        <v>116</v>
      </c>
      <c r="J4" s="9" t="s">
        <v>58</v>
      </c>
      <c r="K4" s="9">
        <v>700</v>
      </c>
      <c r="L4" s="9" t="s">
        <v>117</v>
      </c>
      <c r="M4" s="20" t="s">
        <v>118</v>
      </c>
      <c r="N4" s="16">
        <v>45240</v>
      </c>
      <c r="O4" s="16">
        <v>45291</v>
      </c>
      <c r="P4" s="9">
        <f>P6-N4</f>
        <v>41</v>
      </c>
      <c r="Q4" s="22">
        <f>SUM(Q5:Q25)</f>
        <v>2.58</v>
      </c>
      <c r="R4" s="22">
        <v>1.467123</v>
      </c>
      <c r="S4" s="9"/>
      <c r="T4" s="22">
        <f>SUM(T5:T25)</f>
        <v>3.11</v>
      </c>
      <c r="U4" s="23">
        <v>3.9E-2</v>
      </c>
      <c r="V4" s="16"/>
      <c r="W4" s="9" t="s">
        <v>42</v>
      </c>
      <c r="X4" s="24">
        <v>1.4999999999999999E-2</v>
      </c>
      <c r="Y4" s="9">
        <f>ROUNDDOWN(IF((O4-N4+1)*K4*X4/365&gt;R4,R4,(O4-N4+1)*K4*X4/365),2)</f>
        <v>1.46</v>
      </c>
      <c r="Z4" s="22">
        <f>R4-Y4</f>
        <v>0.01</v>
      </c>
      <c r="AA4" s="22" t="s">
        <v>43</v>
      </c>
      <c r="AB4" s="9" t="s">
        <v>119</v>
      </c>
      <c r="AD4" s="28">
        <f>(O4-N4+1)*K4*X4/365</f>
        <v>1.4959</v>
      </c>
    </row>
    <row r="5" spans="1:30" s="2" customFormat="1">
      <c r="A5" s="10"/>
      <c r="B5" s="10"/>
      <c r="C5" s="10"/>
      <c r="D5" s="10"/>
      <c r="E5" s="10"/>
      <c r="F5" s="10"/>
      <c r="G5" s="10"/>
      <c r="H5" s="10"/>
      <c r="I5" s="10"/>
      <c r="J5" s="10"/>
      <c r="K5" s="10"/>
      <c r="L5" s="10"/>
      <c r="M5" s="17"/>
      <c r="N5" s="18"/>
      <c r="O5" s="16">
        <v>45605</v>
      </c>
      <c r="P5" s="19">
        <v>45251</v>
      </c>
      <c r="Q5" s="25">
        <v>0.3</v>
      </c>
      <c r="R5" s="10"/>
      <c r="S5" s="19">
        <f>P5</f>
        <v>45251</v>
      </c>
      <c r="T5" s="25">
        <f>(S5-N4)/360*$U$4*$K$4</f>
        <v>0.83</v>
      </c>
      <c r="U5" s="25">
        <f>T5-Q5</f>
        <v>0.53</v>
      </c>
      <c r="V5" s="18"/>
      <c r="W5" s="10"/>
      <c r="X5" s="10"/>
      <c r="Y5" s="10">
        <f>ROUNDDOWN((V5-N4)*K4*X4/365,2)</f>
        <v>-1301.42</v>
      </c>
      <c r="Z5" s="10"/>
      <c r="AA5" s="10"/>
      <c r="AB5" s="10"/>
    </row>
    <row r="6" spans="1:30" s="2" customFormat="1">
      <c r="A6" s="10"/>
      <c r="B6" s="10"/>
      <c r="C6" s="10"/>
      <c r="D6" s="10"/>
      <c r="E6" s="10"/>
      <c r="F6" s="10"/>
      <c r="G6" s="10"/>
      <c r="H6" s="10"/>
      <c r="I6" s="10"/>
      <c r="J6" s="10"/>
      <c r="K6" s="10"/>
      <c r="L6" s="10"/>
      <c r="M6" s="17"/>
      <c r="N6" s="18"/>
      <c r="O6" s="18"/>
      <c r="P6" s="19">
        <v>45281</v>
      </c>
      <c r="Q6" s="25">
        <v>2.2799999999999998</v>
      </c>
      <c r="R6" s="10"/>
      <c r="S6" s="19">
        <f t="shared" ref="S6" si="0">P6</f>
        <v>45281</v>
      </c>
      <c r="T6" s="25">
        <f>(S6-S5)*$K$4*$U$4/360</f>
        <v>2.2799999999999998</v>
      </c>
      <c r="U6" s="25">
        <f>T6-Q6</f>
        <v>0</v>
      </c>
      <c r="V6" s="10"/>
      <c r="W6" s="10"/>
      <c r="X6" s="10"/>
      <c r="Y6" s="10"/>
      <c r="Z6" s="10"/>
      <c r="AA6" s="10"/>
      <c r="AB6" s="10"/>
    </row>
    <row r="7" spans="1:30" s="2" customFormat="1" hidden="1">
      <c r="A7" s="10"/>
      <c r="B7" s="10"/>
      <c r="C7" s="10"/>
      <c r="D7" s="10"/>
      <c r="E7" s="10"/>
      <c r="F7" s="10"/>
      <c r="G7" s="10"/>
      <c r="H7" s="10"/>
      <c r="I7" s="10"/>
      <c r="J7" s="10"/>
      <c r="K7" s="10"/>
      <c r="L7" s="10"/>
      <c r="M7" s="17"/>
      <c r="N7" s="18"/>
      <c r="O7" s="18"/>
      <c r="P7" s="19"/>
      <c r="Q7" s="25"/>
      <c r="R7" s="10"/>
      <c r="S7" s="19"/>
      <c r="T7" s="25"/>
      <c r="U7" s="25"/>
      <c r="V7" s="10"/>
      <c r="W7" s="10"/>
      <c r="X7" s="10"/>
      <c r="Y7" s="10"/>
      <c r="Z7" s="10"/>
      <c r="AA7" s="10"/>
      <c r="AB7" s="10"/>
    </row>
    <row r="8" spans="1:30" s="2" customFormat="1" hidden="1">
      <c r="A8" s="10"/>
      <c r="B8" s="10"/>
      <c r="C8" s="10"/>
      <c r="D8" s="10"/>
      <c r="E8" s="10"/>
      <c r="F8" s="10"/>
      <c r="G8" s="10"/>
      <c r="H8" s="10"/>
      <c r="I8" s="10"/>
      <c r="J8" s="10"/>
      <c r="K8" s="10"/>
      <c r="L8" s="10"/>
      <c r="M8" s="17"/>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7"/>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98" hidden="1">
      <c r="A26" s="9">
        <v>2</v>
      </c>
      <c r="B26" s="9" t="str">
        <f>B4</f>
        <v>四川携光生物技术有限公司</v>
      </c>
      <c r="C26" s="9" t="str">
        <f t="shared" ref="C26:G26" si="1">C4</f>
        <v>成都高新技术产业开发区市场监督管理局</v>
      </c>
      <c r="D26" s="9" t="str">
        <f t="shared" si="1"/>
        <v>91510100MA6C9EGJ37</v>
      </c>
      <c r="E26" s="9" t="str">
        <f t="shared" si="1"/>
        <v>民营</v>
      </c>
      <c r="F26" s="9" t="str">
        <f t="shared" si="1"/>
        <v>国家税务总局成都高新技术产业开发区税务局</v>
      </c>
      <c r="G26" s="9" t="str">
        <f t="shared" si="1"/>
        <v>51050148853609111106（中国建设银行成都白果林支行）</v>
      </c>
      <c r="H26" s="9"/>
      <c r="I26" s="9"/>
      <c r="J26" s="9"/>
      <c r="K26" s="9"/>
      <c r="L26" s="9"/>
      <c r="M26" s="20"/>
      <c r="N26" s="16"/>
      <c r="O26" s="16"/>
      <c r="P26" s="9">
        <f>P32-N26</f>
        <v>0</v>
      </c>
      <c r="Q26" s="22">
        <f>SUM(Q27:Q47)</f>
        <v>0</v>
      </c>
      <c r="R26" s="9"/>
      <c r="S26" s="9"/>
      <c r="T26" s="9">
        <f>SUM(T27:T47)</f>
        <v>0</v>
      </c>
      <c r="U26" s="23"/>
      <c r="V26" s="16"/>
      <c r="W26" s="9"/>
      <c r="X26" s="24"/>
      <c r="Y26" s="9">
        <f>ROUNDDOWN(IF((O26-N26+1)*K26*X26/365&gt;R26,R26,(O26-N26+1)*K26*X26/365),2)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2" si="2">P28</f>
        <v>0</v>
      </c>
      <c r="T28" s="25">
        <f>(S28-S27)*$U$26*$K$26/360</f>
        <v>0</v>
      </c>
      <c r="U28" s="25">
        <f t="shared" ref="U28:U32" si="3">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2"/>
        <v>0</v>
      </c>
      <c r="T29" s="25">
        <f t="shared" ref="T29:T32" si="4">(S29-S28)*$U$26*$K$26/360</f>
        <v>0</v>
      </c>
      <c r="U29" s="25">
        <f t="shared" si="3"/>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2"/>
        <v>0</v>
      </c>
      <c r="T30" s="25">
        <f t="shared" si="4"/>
        <v>0</v>
      </c>
      <c r="U30" s="25">
        <f t="shared" si="3"/>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2"/>
        <v>0</v>
      </c>
      <c r="T31" s="25">
        <f t="shared" si="4"/>
        <v>0</v>
      </c>
      <c r="U31" s="25">
        <f t="shared" si="3"/>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2"/>
        <v>0</v>
      </c>
      <c r="T32" s="25">
        <f t="shared" si="4"/>
        <v>0</v>
      </c>
      <c r="U32" s="25">
        <f t="shared" si="3"/>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四川携光生物技术有限公司</v>
      </c>
      <c r="C48" s="9" t="str">
        <f t="shared" ref="C48:G48" si="5">C26</f>
        <v>成都高新技术产业开发区市场监督管理局</v>
      </c>
      <c r="D48" s="9" t="str">
        <f t="shared" si="5"/>
        <v>91510100MA6C9EGJ37</v>
      </c>
      <c r="E48" s="9" t="str">
        <f t="shared" si="5"/>
        <v>民营</v>
      </c>
      <c r="F48" s="9" t="str">
        <f t="shared" si="5"/>
        <v>国家税务总局成都高新技术产业开发区税务局</v>
      </c>
      <c r="G48" s="9" t="str">
        <f t="shared" si="5"/>
        <v>51050148853609111106（中国建设银行成都白果林支行）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6">P50</f>
        <v>0</v>
      </c>
      <c r="T50" s="25">
        <f>(S50-S49)*$U$48*$K$48/360</f>
        <v>0</v>
      </c>
      <c r="U50" s="25">
        <f t="shared" ref="U50" si="7">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四川携光生物技术有限公司</v>
      </c>
      <c r="C70" s="9" t="str">
        <f t="shared" ref="C70:G70" si="8">C48</f>
        <v>成都高新技术产业开发区市场监督管理局</v>
      </c>
      <c r="D70" s="9" t="str">
        <f t="shared" si="8"/>
        <v>91510100MA6C9EGJ37</v>
      </c>
      <c r="E70" s="9" t="str">
        <f t="shared" si="8"/>
        <v>民营</v>
      </c>
      <c r="F70" s="9" t="str">
        <f t="shared" si="8"/>
        <v>国家税务总局成都高新技术产业开发区税务局</v>
      </c>
      <c r="G70" s="9" t="str">
        <f t="shared" si="8"/>
        <v>51050148853609111106（中国建设银行成都白果林支行）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四川携光生物技术有限公司</v>
      </c>
      <c r="C92" s="9" t="str">
        <f t="shared" ref="C92:G92" si="9">C70</f>
        <v>成都高新技术产业开发区市场监督管理局</v>
      </c>
      <c r="D92" s="9" t="str">
        <f t="shared" si="9"/>
        <v>91510100MA6C9EGJ37</v>
      </c>
      <c r="E92" s="9" t="str">
        <f t="shared" si="9"/>
        <v>民营</v>
      </c>
      <c r="F92" s="9" t="str">
        <f t="shared" si="9"/>
        <v>国家税务总局成都高新技术产业开发区税务局</v>
      </c>
      <c r="G92" s="9" t="str">
        <f t="shared" si="9"/>
        <v>51050148853609111106（中国建设银行成都白果林支行）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700</v>
      </c>
      <c r="L114" s="9"/>
      <c r="M114" s="20"/>
      <c r="N114" s="16"/>
      <c r="O114" s="16"/>
      <c r="P114" s="9"/>
      <c r="Q114" s="9"/>
      <c r="R114" s="9">
        <f>R92+R70+R48+R26++R4</f>
        <v>1.467123</v>
      </c>
      <c r="S114" s="9"/>
      <c r="T114" s="9"/>
      <c r="U114" s="9"/>
      <c r="V114" s="9"/>
      <c r="W114" s="9"/>
      <c r="X114" s="9"/>
      <c r="Y114" s="9">
        <f>Y92+Y70+Y48+Y26++Y4</f>
        <v>1.46</v>
      </c>
      <c r="Z114" s="9"/>
      <c r="AA114" s="9"/>
      <c r="AB114" s="9"/>
    </row>
    <row r="115" spans="1:28">
      <c r="I115" t="s">
        <v>49</v>
      </c>
      <c r="K115">
        <f>IF(K114&gt;3000,K116,K114)</f>
        <v>700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D132"/>
  <sheetViews>
    <sheetView topLeftCell="F1" zoomScale="69" zoomScaleNormal="69" workbookViewId="0">
      <pane ySplit="3" topLeftCell="A4" activePane="bottomLeft" state="frozen"/>
      <selection pane="bottomLeft" activeCell="B4" sqref="B4:AB4"/>
    </sheetView>
  </sheetViews>
  <sheetFormatPr defaultColWidth="9" defaultRowHeight="14"/>
  <cols>
    <col min="7" max="7" width="8.58203125" customWidth="1"/>
    <col min="13" max="13" width="8.58203125"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四川昱峰医疗器械有限公司审计明细表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7" t="s">
        <v>784</v>
      </c>
      <c r="Z3" s="7" t="s">
        <v>29</v>
      </c>
      <c r="AA3" s="7" t="s">
        <v>30</v>
      </c>
      <c r="AB3" s="156"/>
      <c r="AC3" s="27"/>
    </row>
    <row r="4" spans="1:30" s="1" customFormat="1" ht="140">
      <c r="A4" s="9">
        <v>1</v>
      </c>
      <c r="B4" s="9" t="s">
        <v>730</v>
      </c>
      <c r="C4" s="9" t="s">
        <v>785</v>
      </c>
      <c r="D4" s="9" t="s">
        <v>786</v>
      </c>
      <c r="E4" s="9" t="s">
        <v>207</v>
      </c>
      <c r="F4" s="9" t="s">
        <v>787</v>
      </c>
      <c r="G4" s="9" t="s">
        <v>788</v>
      </c>
      <c r="H4" s="9" t="s">
        <v>65</v>
      </c>
      <c r="I4" s="9" t="s">
        <v>789</v>
      </c>
      <c r="J4" s="9" t="s">
        <v>168</v>
      </c>
      <c r="K4" s="9">
        <v>500</v>
      </c>
      <c r="L4" s="9" t="s">
        <v>790</v>
      </c>
      <c r="M4" s="20" t="s">
        <v>791</v>
      </c>
      <c r="N4" s="16">
        <v>44777</v>
      </c>
      <c r="O4" s="16">
        <v>45141</v>
      </c>
      <c r="P4" s="9">
        <f>P16-N4</f>
        <v>364</v>
      </c>
      <c r="Q4" s="22">
        <f>SUM(Q5:Q25)</f>
        <v>20.47</v>
      </c>
      <c r="R4" s="22">
        <v>7.47</v>
      </c>
      <c r="S4" s="9"/>
      <c r="T4" s="22">
        <f>SUM(T5:T25)</f>
        <v>20.47</v>
      </c>
      <c r="U4" s="23">
        <v>4.0500000000000001E-2</v>
      </c>
      <c r="V4" s="16"/>
      <c r="W4" s="9" t="s">
        <v>42</v>
      </c>
      <c r="X4" s="24">
        <v>1.4999999999999999E-2</v>
      </c>
      <c r="Y4" s="9">
        <f>ROUNDDOWN(IF((O4-N4+1)*K4*X4/365&gt;R4,R4,(O4-N4+1)*K4*X4/365),2)</f>
        <v>7.47</v>
      </c>
      <c r="Z4" s="22">
        <f>R4-Y4</f>
        <v>0</v>
      </c>
      <c r="AA4" s="22"/>
      <c r="AB4" s="9" t="s">
        <v>61</v>
      </c>
      <c r="AD4" s="28">
        <f>(O4-N4+1)*K4*X4/365</f>
        <v>7.5</v>
      </c>
    </row>
    <row r="5" spans="1:30" s="2" customFormat="1">
      <c r="A5" s="10"/>
      <c r="B5" s="10"/>
      <c r="C5" s="10"/>
      <c r="D5" s="10"/>
      <c r="E5" s="10"/>
      <c r="F5" s="10"/>
      <c r="G5" s="10"/>
      <c r="H5" s="10"/>
      <c r="I5" s="10"/>
      <c r="J5" s="10"/>
      <c r="K5" s="10"/>
      <c r="L5" s="10"/>
      <c r="M5" s="17"/>
      <c r="N5" s="18"/>
      <c r="O5" s="18"/>
      <c r="P5" s="19">
        <v>44825</v>
      </c>
      <c r="Q5" s="25">
        <v>2.7</v>
      </c>
      <c r="R5" s="10"/>
      <c r="S5" s="19">
        <f t="shared" ref="S5:S16" si="0">P5</f>
        <v>44825</v>
      </c>
      <c r="T5" s="25">
        <f>(S5-N4)/360*$U$4*$K$4</f>
        <v>2.7</v>
      </c>
      <c r="U5" s="25">
        <f t="shared" ref="U5:U16" si="1">T5-Q5</f>
        <v>0</v>
      </c>
      <c r="V5" s="18"/>
      <c r="W5" s="10"/>
      <c r="X5" s="10"/>
      <c r="Y5" s="10"/>
      <c r="Z5" s="10"/>
      <c r="AA5" s="10"/>
      <c r="AB5" s="10"/>
    </row>
    <row r="6" spans="1:30" s="2" customFormat="1">
      <c r="A6" s="10"/>
      <c r="B6" s="10"/>
      <c r="C6" s="10"/>
      <c r="D6" s="10"/>
      <c r="E6" s="10"/>
      <c r="F6" s="10"/>
      <c r="G6" s="10"/>
      <c r="H6" s="10"/>
      <c r="I6" s="10"/>
      <c r="J6" s="10"/>
      <c r="K6" s="10"/>
      <c r="L6" s="10"/>
      <c r="M6" s="17"/>
      <c r="N6" s="18"/>
      <c r="O6" s="18"/>
      <c r="P6" s="19">
        <v>44855</v>
      </c>
      <c r="Q6" s="25">
        <v>1.69</v>
      </c>
      <c r="R6" s="10"/>
      <c r="S6" s="19">
        <f t="shared" si="0"/>
        <v>44855</v>
      </c>
      <c r="T6" s="25">
        <f t="shared" ref="T6:T16" si="2">(S6-S5)*$K$4*$U$4/360</f>
        <v>1.69</v>
      </c>
      <c r="U6" s="25">
        <f t="shared" si="1"/>
        <v>0</v>
      </c>
      <c r="V6" s="10"/>
      <c r="W6" s="10"/>
      <c r="X6" s="10"/>
      <c r="Y6" s="10"/>
      <c r="Z6" s="10"/>
      <c r="AA6" s="10"/>
      <c r="AB6" s="10"/>
    </row>
    <row r="7" spans="1:30" s="2" customFormat="1">
      <c r="A7" s="10"/>
      <c r="B7" s="10"/>
      <c r="C7" s="10"/>
      <c r="D7" s="10"/>
      <c r="E7" s="10"/>
      <c r="F7" s="10"/>
      <c r="G7" s="10"/>
      <c r="H7" s="10"/>
      <c r="I7" s="10"/>
      <c r="J7" s="10"/>
      <c r="K7" s="10"/>
      <c r="L7" s="10"/>
      <c r="M7" s="17"/>
      <c r="N7" s="18"/>
      <c r="O7" s="18"/>
      <c r="P7" s="19">
        <v>44886</v>
      </c>
      <c r="Q7" s="25">
        <v>1.74</v>
      </c>
      <c r="R7" s="10"/>
      <c r="S7" s="19">
        <f t="shared" si="0"/>
        <v>44886</v>
      </c>
      <c r="T7" s="25">
        <f t="shared" si="2"/>
        <v>1.74</v>
      </c>
      <c r="U7" s="25">
        <f t="shared" si="1"/>
        <v>0</v>
      </c>
      <c r="V7" s="10"/>
      <c r="W7" s="10"/>
      <c r="X7" s="10"/>
      <c r="Y7" s="10"/>
      <c r="Z7" s="10"/>
      <c r="AA7" s="10"/>
      <c r="AB7" s="10"/>
    </row>
    <row r="8" spans="1:30" s="2" customFormat="1">
      <c r="A8" s="10"/>
      <c r="B8" s="10"/>
      <c r="C8" s="10"/>
      <c r="D8" s="10"/>
      <c r="E8" s="10"/>
      <c r="F8" s="10"/>
      <c r="G8" s="10"/>
      <c r="H8" s="10"/>
      <c r="I8" s="10"/>
      <c r="J8" s="10"/>
      <c r="K8" s="10"/>
      <c r="L8" s="10"/>
      <c r="M8" s="17"/>
      <c r="N8" s="18"/>
      <c r="O8" s="18"/>
      <c r="P8" s="19">
        <v>44916</v>
      </c>
      <c r="Q8" s="25">
        <v>1.69</v>
      </c>
      <c r="R8" s="10"/>
      <c r="S8" s="19">
        <f t="shared" si="0"/>
        <v>44916</v>
      </c>
      <c r="T8" s="25">
        <f t="shared" si="2"/>
        <v>1.69</v>
      </c>
      <c r="U8" s="25">
        <f t="shared" si="1"/>
        <v>0</v>
      </c>
      <c r="V8" s="10"/>
      <c r="W8" s="10"/>
      <c r="X8" s="10"/>
      <c r="Y8" s="10"/>
      <c r="Z8" s="10"/>
      <c r="AA8" s="10"/>
      <c r="AB8" s="10"/>
    </row>
    <row r="9" spans="1:30" s="2" customFormat="1">
      <c r="A9" s="10"/>
      <c r="B9" s="10"/>
      <c r="C9" s="10"/>
      <c r="D9" s="10"/>
      <c r="E9" s="10"/>
      <c r="F9" s="10"/>
      <c r="G9" s="10"/>
      <c r="H9" s="10"/>
      <c r="I9" s="10"/>
      <c r="J9" s="10"/>
      <c r="K9" s="10"/>
      <c r="L9" s="10"/>
      <c r="M9" s="17"/>
      <c r="N9" s="18"/>
      <c r="O9" s="18"/>
      <c r="P9" s="19">
        <v>44947</v>
      </c>
      <c r="Q9" s="25">
        <v>1.74</v>
      </c>
      <c r="R9" s="10"/>
      <c r="S9" s="19">
        <f t="shared" si="0"/>
        <v>44947</v>
      </c>
      <c r="T9" s="25">
        <f t="shared" si="2"/>
        <v>1.74</v>
      </c>
      <c r="U9" s="25">
        <f t="shared" si="1"/>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44978</v>
      </c>
      <c r="Q10" s="25">
        <v>1.74</v>
      </c>
      <c r="R10" s="10"/>
      <c r="S10" s="19">
        <f t="shared" si="0"/>
        <v>44978</v>
      </c>
      <c r="T10" s="25">
        <f t="shared" si="2"/>
        <v>1.74</v>
      </c>
      <c r="U10" s="25">
        <f t="shared" si="1"/>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45006</v>
      </c>
      <c r="Q11" s="25">
        <v>1.58</v>
      </c>
      <c r="R11" s="10"/>
      <c r="S11" s="19">
        <f t="shared" si="0"/>
        <v>45006</v>
      </c>
      <c r="T11" s="25">
        <f t="shared" si="2"/>
        <v>1.58</v>
      </c>
      <c r="U11" s="25">
        <f t="shared" si="1"/>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45037</v>
      </c>
      <c r="Q12" s="25">
        <v>1.74</v>
      </c>
      <c r="R12" s="10"/>
      <c r="S12" s="19">
        <f t="shared" si="0"/>
        <v>45037</v>
      </c>
      <c r="T12" s="25">
        <f t="shared" si="2"/>
        <v>1.74</v>
      </c>
      <c r="U12" s="25">
        <f t="shared" si="1"/>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45067</v>
      </c>
      <c r="Q13" s="25">
        <v>1.69</v>
      </c>
      <c r="R13" s="10"/>
      <c r="S13" s="19">
        <f t="shared" si="0"/>
        <v>45067</v>
      </c>
      <c r="T13" s="25">
        <f t="shared" si="2"/>
        <v>1.69</v>
      </c>
      <c r="U13" s="25">
        <f t="shared" si="1"/>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45098</v>
      </c>
      <c r="Q14" s="25">
        <v>1.74</v>
      </c>
      <c r="R14" s="10"/>
      <c r="S14" s="19">
        <f t="shared" si="0"/>
        <v>45098</v>
      </c>
      <c r="T14" s="25">
        <f t="shared" si="2"/>
        <v>1.74</v>
      </c>
      <c r="U14" s="25">
        <f t="shared" si="1"/>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45128</v>
      </c>
      <c r="Q15" s="25">
        <v>1.69</v>
      </c>
      <c r="R15" s="10"/>
      <c r="S15" s="19">
        <f t="shared" si="0"/>
        <v>45128</v>
      </c>
      <c r="T15" s="25">
        <f t="shared" si="2"/>
        <v>1.69</v>
      </c>
      <c r="U15" s="25">
        <f t="shared" si="1"/>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45141</v>
      </c>
      <c r="Q16" s="25">
        <v>0.73</v>
      </c>
      <c r="R16" s="10"/>
      <c r="S16" s="19">
        <f t="shared" si="0"/>
        <v>45141</v>
      </c>
      <c r="T16" s="25">
        <f t="shared" si="2"/>
        <v>0.73</v>
      </c>
      <c r="U16" s="25">
        <f t="shared" si="1"/>
        <v>0</v>
      </c>
      <c r="V16" s="10"/>
      <c r="W16" s="10"/>
      <c r="X16" s="10"/>
      <c r="Y16" s="10"/>
      <c r="Z16" s="10"/>
      <c r="AA16" s="10"/>
      <c r="AB16" s="10"/>
    </row>
    <row r="17" spans="1:30" s="2" customFormat="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4.15" hidden="1" customHeight="1">
      <c r="A26" s="9">
        <v>2</v>
      </c>
      <c r="B26" s="9" t="str">
        <f t="shared" ref="B26:G26" si="3">B4</f>
        <v>四川昱峰医疗器械有限公司</v>
      </c>
      <c r="C26" s="9" t="str">
        <f t="shared" si="3"/>
        <v>成都市双流区行政审批局</v>
      </c>
      <c r="D26" s="9" t="str">
        <f t="shared" si="3"/>
        <v>91510122762296565T</v>
      </c>
      <c r="E26" s="9" t="str">
        <f t="shared" si="3"/>
        <v>有限责任公司(自然人投资或控股)</v>
      </c>
      <c r="F26" s="9" t="str">
        <f t="shared" si="3"/>
        <v>国家税务总局成都市双流区税务局</v>
      </c>
      <c r="G26" s="9" t="str">
        <f t="shared" si="3"/>
        <v>收款账号：511610018018002334922
开户行：交通银行股份有限公司双流分行</v>
      </c>
      <c r="H26" s="9"/>
      <c r="I26" s="9"/>
      <c r="J26" s="9"/>
      <c r="K26" s="9"/>
      <c r="L26" s="9"/>
      <c r="M26" s="20"/>
      <c r="N26" s="16"/>
      <c r="O26" s="16"/>
      <c r="P26" s="9">
        <f>P32-N26</f>
        <v>0</v>
      </c>
      <c r="Q26" s="22">
        <f>SUM(Q27:Q47)</f>
        <v>0</v>
      </c>
      <c r="R26" s="9"/>
      <c r="S26" s="9"/>
      <c r="T26" s="9">
        <f>SUM(T27:T47)</f>
        <v>0</v>
      </c>
      <c r="U26" s="23"/>
      <c r="V26" s="16"/>
      <c r="W26" s="9"/>
      <c r="X26" s="24"/>
      <c r="Y26" s="9">
        <f>ROUNDUP(IF((O26-N26+1)*K26*X26/365&gt;R26,R26,(O26-N26+1)*K26*X26/365),2)</f>
        <v>0</v>
      </c>
      <c r="Z26" s="9"/>
      <c r="AA26" s="9"/>
      <c r="AB26" s="9"/>
      <c r="AD26" s="28">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 t="shared" ref="S27:S32" si="4">P27</f>
        <v>0</v>
      </c>
      <c r="T27" s="25">
        <f>(S27-N26)/360*$U$26*$K$26</f>
        <v>0</v>
      </c>
      <c r="U27" s="25">
        <f t="shared" ref="U27:U32" si="5">T27-Q27</f>
        <v>0</v>
      </c>
      <c r="V27" s="18">
        <v>45287</v>
      </c>
      <c r="W27" s="10">
        <v>50</v>
      </c>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si="4"/>
        <v>0</v>
      </c>
      <c r="T28" s="25">
        <f t="shared" ref="T28:T32" si="6">(S28-S27)*$U$26*$K$26/360</f>
        <v>0</v>
      </c>
      <c r="U28" s="25">
        <f t="shared" si="5"/>
        <v>0</v>
      </c>
      <c r="V28" s="18">
        <v>45291</v>
      </c>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si="6"/>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30"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30"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30"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30"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30"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30"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30"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30"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30"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30"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30"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30"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30"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30"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30"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30" s="1" customFormat="1" ht="140" hidden="1">
      <c r="A48" s="9">
        <v>3</v>
      </c>
      <c r="B48" s="9" t="str">
        <f t="shared" ref="B48:G48" si="7">B26</f>
        <v>四川昱峰医疗器械有限公司</v>
      </c>
      <c r="C48" s="9" t="str">
        <f t="shared" si="7"/>
        <v>成都市双流区行政审批局</v>
      </c>
      <c r="D48" s="9" t="str">
        <f t="shared" si="7"/>
        <v>91510122762296565T</v>
      </c>
      <c r="E48" s="9" t="str">
        <f t="shared" si="7"/>
        <v>有限责任公司(自然人投资或控股)</v>
      </c>
      <c r="F48" s="9" t="str">
        <f t="shared" si="7"/>
        <v>国家税务总局成都市双流区税务局</v>
      </c>
      <c r="G48" s="9" t="str">
        <f t="shared" si="7"/>
        <v>收款账号：511610018018002334922
开户行：交通银行股份有限公司双流分行</v>
      </c>
      <c r="H48" s="9"/>
      <c r="I48" s="9"/>
      <c r="J48" s="9"/>
      <c r="K48" s="9"/>
      <c r="L48" s="9"/>
      <c r="M48" s="20"/>
      <c r="N48" s="16"/>
      <c r="O48" s="16"/>
      <c r="P48" s="9">
        <f>P50-N48</f>
        <v>0</v>
      </c>
      <c r="Q48" s="22">
        <f>SUM(Q49:Q69)</f>
        <v>0</v>
      </c>
      <c r="R48" s="9"/>
      <c r="S48" s="9"/>
      <c r="T48" s="9">
        <f>SUM(T49:T69)</f>
        <v>0</v>
      </c>
      <c r="U48" s="23"/>
      <c r="V48" s="16"/>
      <c r="W48" s="9"/>
      <c r="X48" s="24"/>
      <c r="Y48" s="9">
        <f>ROUNDUP(IF((O48-N48+1)*K48*X48/365&gt;R48,R48,(O48-N48+1)*K48*X48/365),2)</f>
        <v>0</v>
      </c>
      <c r="Z48" s="30"/>
      <c r="AA48" s="30"/>
      <c r="AB48" s="9"/>
      <c r="AD48" s="28">
        <f>(O48-N48+1)*K48*X48/365</f>
        <v>0</v>
      </c>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P50</f>
        <v>0</v>
      </c>
      <c r="T50" s="25">
        <f>(S50-S49)*$U$48*$K$48/360</f>
        <v>0</v>
      </c>
      <c r="U50" s="25">
        <f>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30"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30"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30"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30"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30"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30" s="1" customFormat="1" ht="140" hidden="1">
      <c r="A70" s="9">
        <v>4</v>
      </c>
      <c r="B70" s="9" t="str">
        <f t="shared" ref="B70:G70" si="8">B48</f>
        <v>四川昱峰医疗器械有限公司</v>
      </c>
      <c r="C70" s="9" t="str">
        <f t="shared" si="8"/>
        <v>成都市双流区行政审批局</v>
      </c>
      <c r="D70" s="9" t="str">
        <f t="shared" si="8"/>
        <v>91510122762296565T</v>
      </c>
      <c r="E70" s="9" t="str">
        <f t="shared" si="8"/>
        <v>有限责任公司(自然人投资或控股)</v>
      </c>
      <c r="F70" s="9" t="str">
        <f t="shared" si="8"/>
        <v>国家税务总局成都市双流区税务局</v>
      </c>
      <c r="G70" s="9" t="str">
        <f t="shared" si="8"/>
        <v>收款账号：511610018018002334922
开户行：交通银行股份有限公司双流分行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c r="AD70" s="28">
        <f>(O70-N70+1)*K70*X70/365</f>
        <v>0</v>
      </c>
    </row>
    <row r="71" spans="1:30"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30"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30"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30"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30"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30"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30"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30"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30"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30"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30"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30"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30"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30"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30"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30"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30"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30"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30"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30"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30"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30" s="1" customFormat="1" ht="140" hidden="1">
      <c r="A92" s="9">
        <v>5</v>
      </c>
      <c r="B92" s="9" t="str">
        <f t="shared" ref="B92:G92" si="9">B70</f>
        <v>四川昱峰医疗器械有限公司</v>
      </c>
      <c r="C92" s="9" t="str">
        <f t="shared" si="9"/>
        <v>成都市双流区行政审批局</v>
      </c>
      <c r="D92" s="9" t="str">
        <f t="shared" si="9"/>
        <v>91510122762296565T</v>
      </c>
      <c r="E92" s="9" t="str">
        <f t="shared" si="9"/>
        <v>有限责任公司(自然人投资或控股)</v>
      </c>
      <c r="F92" s="9" t="str">
        <f t="shared" si="9"/>
        <v>国家税务总局成都市双流区税务局</v>
      </c>
      <c r="G92" s="9" t="str">
        <f t="shared" si="9"/>
        <v>收款账号：511610018018002334922
开户行：交通银行股份有限公司双流分行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c r="AD92" s="28">
        <f>(O92-N92+1)*K92*X92/365</f>
        <v>0</v>
      </c>
    </row>
    <row r="93" spans="1:30"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30"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30"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30"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500</v>
      </c>
      <c r="L114" s="9"/>
      <c r="M114" s="20"/>
      <c r="N114" s="16"/>
      <c r="O114" s="16"/>
      <c r="P114" s="9"/>
      <c r="Q114" s="9"/>
      <c r="R114" s="9">
        <f>R92+R70+R48+R26++R4</f>
        <v>7.47</v>
      </c>
      <c r="S114" s="9"/>
      <c r="T114" s="9"/>
      <c r="U114" s="9"/>
      <c r="V114" s="9"/>
      <c r="W114" s="9"/>
      <c r="X114" s="9"/>
      <c r="Y114" s="9">
        <f>Y92+Y70+Y48+Y26++Y4</f>
        <v>7.47</v>
      </c>
      <c r="Z114" s="9"/>
      <c r="AA114" s="9"/>
      <c r="AB114" s="9"/>
    </row>
    <row r="115" spans="1:28">
      <c r="I115" t="s">
        <v>49</v>
      </c>
      <c r="K115">
        <f>IF(K114&gt;3000,K116,K114)</f>
        <v>500</v>
      </c>
    </row>
    <row r="116" spans="1:28" hidden="1">
      <c r="K116" t="s">
        <v>50</v>
      </c>
    </row>
    <row r="121" spans="1:28">
      <c r="Q121" s="4"/>
    </row>
    <row r="122" spans="1:28">
      <c r="Q122" s="4"/>
    </row>
    <row r="123" spans="1:28">
      <c r="Q123" s="4"/>
    </row>
    <row r="124" spans="1:28">
      <c r="Q124" s="4"/>
    </row>
    <row r="125" spans="1:28">
      <c r="Q125" s="4"/>
    </row>
    <row r="126" spans="1:28">
      <c r="Q126" s="4"/>
    </row>
    <row r="127" spans="1:28">
      <c r="Q127" s="4"/>
    </row>
    <row r="128" spans="1:28">
      <c r="Q128" s="4"/>
    </row>
    <row r="129" spans="17:17">
      <c r="Q129" s="4"/>
    </row>
    <row r="130" spans="17:17">
      <c r="Q130" s="4"/>
    </row>
    <row r="131" spans="17:17">
      <c r="Q131" s="4"/>
    </row>
    <row r="132" spans="17:17">
      <c r="Q132" s="4"/>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D116"/>
  <sheetViews>
    <sheetView topLeftCell="I1" zoomScale="69" zoomScaleNormal="69" workbookViewId="0">
      <pane ySplit="3" topLeftCell="A4" activePane="bottomLeft" state="frozen"/>
      <selection pane="bottomLeft" activeCell="B4" sqref="B4:AB4"/>
    </sheetView>
  </sheetViews>
  <sheetFormatPr defaultColWidth="9" defaultRowHeight="14"/>
  <cols>
    <col min="7" max="7" width="8.58203125" customWidth="1"/>
    <col min="13" max="13" width="8.58203125"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成都虹宁显示玻璃有限公司审计明细表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1" t="s">
        <v>28</v>
      </c>
      <c r="Z3" s="7" t="s">
        <v>29</v>
      </c>
      <c r="AA3" s="7" t="s">
        <v>30</v>
      </c>
      <c r="AB3" s="156"/>
      <c r="AC3" s="27"/>
    </row>
    <row r="4" spans="1:30" s="1" customFormat="1" ht="112">
      <c r="A4" s="9">
        <v>1</v>
      </c>
      <c r="B4" s="9" t="s">
        <v>621</v>
      </c>
      <c r="C4" s="9" t="s">
        <v>792</v>
      </c>
      <c r="D4" s="9" t="s">
        <v>793</v>
      </c>
      <c r="E4" s="9" t="s">
        <v>794</v>
      </c>
      <c r="F4" s="9" t="s">
        <v>787</v>
      </c>
      <c r="G4" s="9" t="s">
        <v>795</v>
      </c>
      <c r="H4" s="9" t="s">
        <v>71</v>
      </c>
      <c r="I4" s="9" t="s">
        <v>796</v>
      </c>
      <c r="J4" s="9" t="s">
        <v>168</v>
      </c>
      <c r="K4" s="9">
        <v>1000</v>
      </c>
      <c r="L4" s="9" t="s">
        <v>797</v>
      </c>
      <c r="M4" s="20" t="s">
        <v>798</v>
      </c>
      <c r="N4" s="16">
        <v>45102</v>
      </c>
      <c r="O4" s="16">
        <v>45291</v>
      </c>
      <c r="P4" s="9">
        <f>P11-N4</f>
        <v>210</v>
      </c>
      <c r="Q4" s="22">
        <f>SUM(Q5:Q25)</f>
        <v>22.76</v>
      </c>
      <c r="R4" s="22">
        <v>7.8</v>
      </c>
      <c r="S4" s="9"/>
      <c r="T4" s="22">
        <f>SUM(T5:T25)</f>
        <v>22.76</v>
      </c>
      <c r="U4" s="23">
        <v>3.9E-2</v>
      </c>
      <c r="V4" s="16"/>
      <c r="W4" s="126" t="s">
        <v>42</v>
      </c>
      <c r="X4" s="24">
        <f>IFERROR(INDEX([1]支持标准!$F$3:$F$5,MATCH('154'!H4,[1]支持标准!$B$3:$B$5)),0)</f>
        <v>1.4999999999999999E-2</v>
      </c>
      <c r="Y4" s="9">
        <f>ROUNDDOWN(IF((O4-N4+1)*K4*X4/365&gt;R4,R4,(O4-N4+1)*K4*X4/365),2)</f>
        <v>7.8</v>
      </c>
      <c r="Z4" s="22">
        <f>R4-Y4</f>
        <v>0</v>
      </c>
      <c r="AA4" s="22"/>
      <c r="AB4" s="126" t="s">
        <v>61</v>
      </c>
      <c r="AD4" s="28">
        <f>(O4-N4+1)*K4*X4/365</f>
        <v>7.8082000000000003</v>
      </c>
    </row>
    <row r="5" spans="1:30" s="2" customFormat="1">
      <c r="A5" s="10"/>
      <c r="B5" s="10"/>
      <c r="C5" s="10"/>
      <c r="D5" s="10"/>
      <c r="E5" s="10"/>
      <c r="F5" s="10"/>
      <c r="G5" s="10"/>
      <c r="H5" s="10"/>
      <c r="I5" s="10"/>
      <c r="J5" s="10"/>
      <c r="K5" s="10"/>
      <c r="L5" s="10"/>
      <c r="M5" s="17"/>
      <c r="N5" s="18"/>
      <c r="O5" s="18">
        <v>45467</v>
      </c>
      <c r="P5" s="19">
        <v>45128</v>
      </c>
      <c r="Q5" s="25">
        <v>2.82</v>
      </c>
      <c r="R5" s="10"/>
      <c r="S5" s="19">
        <f t="shared" ref="S5:S11" si="0">P5</f>
        <v>45128</v>
      </c>
      <c r="T5" s="25">
        <f>(S5-N4)/360*$U$4*$K$4</f>
        <v>2.82</v>
      </c>
      <c r="U5" s="25">
        <f t="shared" ref="U5:U11" si="1">T5-Q5</f>
        <v>0</v>
      </c>
      <c r="V5" s="18"/>
      <c r="W5" s="10"/>
      <c r="X5" s="10"/>
      <c r="Y5" s="10"/>
      <c r="Z5" s="10"/>
      <c r="AA5" s="10"/>
      <c r="AB5" s="10"/>
    </row>
    <row r="6" spans="1:30" s="2" customFormat="1">
      <c r="A6" s="10"/>
      <c r="B6" s="10"/>
      <c r="C6" s="10"/>
      <c r="D6" s="10"/>
      <c r="E6" s="10"/>
      <c r="F6" s="10"/>
      <c r="G6" s="10"/>
      <c r="H6" s="10"/>
      <c r="I6" s="10"/>
      <c r="J6" s="10"/>
      <c r="K6" s="10"/>
      <c r="L6" s="10"/>
      <c r="M6" s="17"/>
      <c r="N6" s="18"/>
      <c r="O6" s="18"/>
      <c r="P6" s="19">
        <v>45159</v>
      </c>
      <c r="Q6" s="25">
        <v>3.36</v>
      </c>
      <c r="R6" s="10"/>
      <c r="S6" s="19">
        <f t="shared" si="0"/>
        <v>45159</v>
      </c>
      <c r="T6" s="25">
        <f t="shared" ref="T6:T11" si="2">(S6-S5)*$K$4*$U$4/360</f>
        <v>3.36</v>
      </c>
      <c r="U6" s="25">
        <f t="shared" si="1"/>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45190</v>
      </c>
      <c r="Q7" s="25">
        <v>3.36</v>
      </c>
      <c r="R7" s="10"/>
      <c r="S7" s="19">
        <f t="shared" si="0"/>
        <v>45190</v>
      </c>
      <c r="T7" s="25">
        <f t="shared" si="2"/>
        <v>3.36</v>
      </c>
      <c r="U7" s="25">
        <f t="shared" si="1"/>
        <v>0</v>
      </c>
      <c r="V7" s="10"/>
      <c r="W7" s="10"/>
      <c r="X7" s="10"/>
      <c r="Y7" s="10"/>
      <c r="Z7" s="10"/>
      <c r="AA7" s="10"/>
      <c r="AB7" s="10"/>
    </row>
    <row r="8" spans="1:30" s="2" customFormat="1">
      <c r="A8" s="10"/>
      <c r="B8" s="10"/>
      <c r="C8" s="10"/>
      <c r="D8" s="10"/>
      <c r="E8" s="10"/>
      <c r="F8" s="10"/>
      <c r="G8" s="10"/>
      <c r="H8" s="10"/>
      <c r="I8" s="10"/>
      <c r="J8" s="10"/>
      <c r="K8" s="10"/>
      <c r="L8" s="10"/>
      <c r="M8" s="17"/>
      <c r="N8" s="18"/>
      <c r="O8" s="18"/>
      <c r="P8" s="19">
        <v>45220</v>
      </c>
      <c r="Q8" s="25">
        <v>3.25</v>
      </c>
      <c r="R8" s="10"/>
      <c r="S8" s="19">
        <f t="shared" si="0"/>
        <v>45220</v>
      </c>
      <c r="T8" s="25">
        <f t="shared" si="2"/>
        <v>3.25</v>
      </c>
      <c r="U8" s="25">
        <f t="shared" si="1"/>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45251</v>
      </c>
      <c r="Q9" s="25">
        <v>3.36</v>
      </c>
      <c r="R9" s="10"/>
      <c r="S9" s="19">
        <f t="shared" si="0"/>
        <v>45251</v>
      </c>
      <c r="T9" s="25">
        <f t="shared" si="2"/>
        <v>3.36</v>
      </c>
      <c r="U9" s="25">
        <f t="shared" si="1"/>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45281</v>
      </c>
      <c r="Q10" s="25">
        <v>3.25</v>
      </c>
      <c r="R10" s="10"/>
      <c r="S10" s="19">
        <f t="shared" si="0"/>
        <v>45281</v>
      </c>
      <c r="T10" s="25">
        <f t="shared" si="2"/>
        <v>3.25</v>
      </c>
      <c r="U10" s="25">
        <f t="shared" si="1"/>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45312</v>
      </c>
      <c r="Q11" s="25">
        <v>3.36</v>
      </c>
      <c r="R11" s="10"/>
      <c r="S11" s="19">
        <f t="shared" si="0"/>
        <v>45312</v>
      </c>
      <c r="T11" s="25">
        <f t="shared" si="2"/>
        <v>3.36</v>
      </c>
      <c r="U11" s="25">
        <f t="shared" si="1"/>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12" hidden="1">
      <c r="A26" s="9">
        <v>2</v>
      </c>
      <c r="B26" s="9" t="str">
        <f t="shared" ref="B26:G26" si="3">B4</f>
        <v>成都虹宁显示玻璃有限公司</v>
      </c>
      <c r="C26" s="9" t="str">
        <f t="shared" si="3"/>
        <v>成都市双流区市场和质量监督管理局</v>
      </c>
      <c r="D26" s="9" t="str">
        <f t="shared" si="3"/>
        <v>91510122MA68J32BXQ</v>
      </c>
      <c r="E26" s="9" t="str">
        <f t="shared" si="3"/>
        <v>有限责任公司(中外合资)</v>
      </c>
      <c r="F26" s="9" t="str">
        <f t="shared" si="3"/>
        <v>国家税务总局成都市双流区税务局</v>
      </c>
      <c r="G26" s="9" t="str">
        <f t="shared" si="3"/>
        <v>收款账号：1001300000755070
开户行：成都银行开发区支行</v>
      </c>
      <c r="H26" s="9"/>
      <c r="I26" s="9"/>
      <c r="J26" s="9"/>
      <c r="K26" s="9"/>
      <c r="L26" s="9"/>
      <c r="M26" s="20"/>
      <c r="N26" s="16"/>
      <c r="O26" s="16"/>
      <c r="P26" s="9">
        <f>P32-N26</f>
        <v>0</v>
      </c>
      <c r="Q26" s="22">
        <f>SUM(Q27:Q47)</f>
        <v>0</v>
      </c>
      <c r="R26" s="9"/>
      <c r="S26" s="9"/>
      <c r="T26" s="9">
        <f>SUM(T27:T47)</f>
        <v>0</v>
      </c>
      <c r="U26" s="23"/>
      <c r="V26" s="16"/>
      <c r="W26" s="9"/>
      <c r="X26" s="24">
        <f>IFERROR(INDEX([1]支持标准!$F$3:$F$5,MATCH('154'!H26,[1]支持标准!$B$3:$B$5)),0)</f>
        <v>0</v>
      </c>
      <c r="Y26" s="9">
        <f>ROUNDDOWN(IF((O26-N26+1)*K26*X26/365&gt;R26,R26,(O26-N26+1)*K26*X26/365),2)</f>
        <v>0</v>
      </c>
      <c r="Z26" s="9"/>
      <c r="AA26" s="9"/>
      <c r="AB26" s="9"/>
      <c r="AD26" s="28">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 t="shared" ref="S27:S32" si="4">P27</f>
        <v>0</v>
      </c>
      <c r="T27" s="25">
        <f>(S27-N26)/360*$U$26*$K$26</f>
        <v>0</v>
      </c>
      <c r="U27" s="25">
        <f t="shared" ref="U27:U32" si="5">T27-Q27</f>
        <v>0</v>
      </c>
      <c r="V27" s="18">
        <v>45287</v>
      </c>
      <c r="W27" s="10">
        <v>50</v>
      </c>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si="4"/>
        <v>0</v>
      </c>
      <c r="T28" s="25">
        <f t="shared" ref="T28:T32" si="6">(S28-S27)*$U$26*$K$26/360</f>
        <v>0</v>
      </c>
      <c r="U28" s="25">
        <f t="shared" si="5"/>
        <v>0</v>
      </c>
      <c r="V28" s="18">
        <v>45291</v>
      </c>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si="6"/>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30"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30"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30"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30"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30"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30"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30"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30"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30"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30"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30"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30"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30"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30"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30"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30" s="1" customFormat="1" ht="112" hidden="1">
      <c r="A48" s="9">
        <v>3</v>
      </c>
      <c r="B48" s="9" t="str">
        <f t="shared" ref="B48:G48" si="7">B26</f>
        <v>成都虹宁显示玻璃有限公司</v>
      </c>
      <c r="C48" s="9" t="str">
        <f t="shared" si="7"/>
        <v>成都市双流区市场和质量监督管理局</v>
      </c>
      <c r="D48" s="9" t="str">
        <f t="shared" si="7"/>
        <v>91510122MA68J32BXQ</v>
      </c>
      <c r="E48" s="9" t="str">
        <f t="shared" si="7"/>
        <v>有限责任公司(中外合资)</v>
      </c>
      <c r="F48" s="9" t="str">
        <f t="shared" si="7"/>
        <v>国家税务总局成都市双流区税务局</v>
      </c>
      <c r="G48" s="9" t="str">
        <f t="shared" si="7"/>
        <v>收款账号：1001300000755070
开户行：成都银行开发区支行</v>
      </c>
      <c r="H48" s="9"/>
      <c r="I48" s="9"/>
      <c r="J48" s="9"/>
      <c r="K48" s="9"/>
      <c r="L48" s="9"/>
      <c r="M48" s="20"/>
      <c r="N48" s="16"/>
      <c r="O48" s="16"/>
      <c r="P48" s="9">
        <f>P50-N48</f>
        <v>0</v>
      </c>
      <c r="Q48" s="22">
        <f>SUM(Q49:Q69)</f>
        <v>0</v>
      </c>
      <c r="R48" s="9"/>
      <c r="S48" s="9"/>
      <c r="T48" s="9">
        <f>SUM(T49:T69)</f>
        <v>0</v>
      </c>
      <c r="U48" s="23"/>
      <c r="V48" s="16"/>
      <c r="W48" s="9"/>
      <c r="X48" s="24">
        <f>IFERROR(INDEX([1]支持标准!$F$3:$F$5,MATCH('[1]153'!H48,[1]支持标准!$B$3:$B$5)),0)</f>
        <v>0</v>
      </c>
      <c r="Y48" s="9">
        <f>ROUNDDOWN(IF((O48-N48+1)*K48*X48/365&gt;R48,R48,(O48-N48+1)*K48*X48/365),2)</f>
        <v>0</v>
      </c>
      <c r="Z48" s="30"/>
      <c r="AA48" s="30"/>
      <c r="AB48" s="9"/>
      <c r="AD48" s="28">
        <f>(O48-N48+1)*K48*X48/365</f>
        <v>0</v>
      </c>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P50</f>
        <v>0</v>
      </c>
      <c r="T50" s="25">
        <f>(S50-S49)*$U$48*$K$48/360</f>
        <v>0</v>
      </c>
      <c r="U50" s="25">
        <f>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30"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30"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30"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30"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30"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30" s="1" customFormat="1" ht="112" hidden="1">
      <c r="A70" s="9">
        <v>4</v>
      </c>
      <c r="B70" s="9" t="str">
        <f t="shared" ref="B70:G70" si="8">B48</f>
        <v>成都虹宁显示玻璃有限公司</v>
      </c>
      <c r="C70" s="9" t="str">
        <f t="shared" si="8"/>
        <v>成都市双流区市场和质量监督管理局</v>
      </c>
      <c r="D70" s="9" t="str">
        <f t="shared" si="8"/>
        <v>91510122MA68J32BXQ</v>
      </c>
      <c r="E70" s="9" t="str">
        <f t="shared" si="8"/>
        <v>有限责任公司(中外合资)</v>
      </c>
      <c r="F70" s="9" t="str">
        <f t="shared" si="8"/>
        <v>国家税务总局成都市双流区税务局</v>
      </c>
      <c r="G70" s="9" t="str">
        <f t="shared" si="8"/>
        <v>收款账号：1001300000755070
开户行：成都银行开发区支行</v>
      </c>
      <c r="H70" s="9"/>
      <c r="I70" s="9"/>
      <c r="J70" s="9"/>
      <c r="K70" s="9"/>
      <c r="L70" s="9"/>
      <c r="M70" s="20"/>
      <c r="N70" s="16"/>
      <c r="O70" s="16"/>
      <c r="P70" s="9"/>
      <c r="Q70" s="22">
        <f>SUM(Q71:Q91)</f>
        <v>0</v>
      </c>
      <c r="R70" s="9"/>
      <c r="S70" s="9"/>
      <c r="T70" s="9">
        <f>SUM(T71:T91)</f>
        <v>0</v>
      </c>
      <c r="U70" s="9"/>
      <c r="V70" s="16"/>
      <c r="W70" s="9"/>
      <c r="X70" s="24">
        <f>IFERROR(INDEX([1]支持标准!$F$3:$F$5,MATCH('[1]153'!H70,[1]支持标准!$B$3:$B$5)),0)</f>
        <v>0</v>
      </c>
      <c r="Y70" s="9">
        <f>ROUNDDOWN(IF((O70-N70+1)*K70*X70/365&gt;R70,R70,(O70-N70+1)*K70*X70/365),2)</f>
        <v>0</v>
      </c>
      <c r="Z70" s="9"/>
      <c r="AA70" s="9"/>
      <c r="AB70" s="9"/>
      <c r="AD70" s="28">
        <f>(O70-N70+1)*K70*X70/365</f>
        <v>0</v>
      </c>
    </row>
    <row r="71" spans="1:30"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30"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30"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30"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30"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30"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30"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30"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30"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30"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30"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30"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30"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30"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30"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30"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30"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30"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30"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30"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30"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30" s="1" customFormat="1" ht="112" hidden="1">
      <c r="A92" s="9">
        <v>5</v>
      </c>
      <c r="B92" s="9" t="str">
        <f t="shared" ref="B92:G92" si="9">B70</f>
        <v>成都虹宁显示玻璃有限公司</v>
      </c>
      <c r="C92" s="9" t="str">
        <f t="shared" si="9"/>
        <v>成都市双流区市场和质量监督管理局</v>
      </c>
      <c r="D92" s="9" t="str">
        <f t="shared" si="9"/>
        <v>91510122MA68J32BXQ</v>
      </c>
      <c r="E92" s="9" t="str">
        <f t="shared" si="9"/>
        <v>有限责任公司(中外合资)</v>
      </c>
      <c r="F92" s="9" t="str">
        <f t="shared" si="9"/>
        <v>国家税务总局成都市双流区税务局</v>
      </c>
      <c r="G92" s="9" t="str">
        <f t="shared" si="9"/>
        <v>收款账号：1001300000755070
开户行：成都银行开发区支行</v>
      </c>
      <c r="H92" s="9"/>
      <c r="I92" s="9"/>
      <c r="J92" s="9"/>
      <c r="K92" s="9"/>
      <c r="L92" s="9"/>
      <c r="M92" s="20"/>
      <c r="N92" s="16"/>
      <c r="O92" s="16"/>
      <c r="P92" s="9"/>
      <c r="Q92" s="22">
        <f>SUM(Q93:Q113)</f>
        <v>0</v>
      </c>
      <c r="R92" s="9"/>
      <c r="S92" s="9"/>
      <c r="T92" s="9">
        <f>SUM(T93:T113)</f>
        <v>0</v>
      </c>
      <c r="U92" s="9"/>
      <c r="V92" s="16"/>
      <c r="W92" s="9"/>
      <c r="X92" s="24">
        <f>IFERROR(INDEX([1]支持标准!$F$3:$F$5,MATCH('[1]153'!H92,[1]支持标准!$B$3:$B$5)),0)</f>
        <v>0</v>
      </c>
      <c r="Y92" s="9">
        <f>ROUNDDOWN(IF((O92-N92+1)*K92*X92/365&gt;R92,R92,(O92-N92+1)*K92*X92/365),2)</f>
        <v>0</v>
      </c>
      <c r="Z92" s="9"/>
      <c r="AA92" s="9"/>
      <c r="AB92" s="9"/>
      <c r="AD92" s="28">
        <f>(O92-N92+1)*K92*X92/365</f>
        <v>0</v>
      </c>
    </row>
    <row r="93" spans="1:30"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30"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30"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30"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7.8</v>
      </c>
      <c r="S114" s="9"/>
      <c r="T114" s="9"/>
      <c r="U114" s="9"/>
      <c r="V114" s="9"/>
      <c r="W114" s="9"/>
      <c r="X114" s="9"/>
      <c r="Y114" s="9">
        <f>Y92+Y70+Y48+Y26++Y4</f>
        <v>7.8</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filterMode="1"/>
  <dimension ref="A1:AD116"/>
  <sheetViews>
    <sheetView topLeftCell="E1" zoomScale="64" zoomScaleNormal="64" workbookViewId="0">
      <selection activeCell="B4" sqref="B4:AB4"/>
    </sheetView>
  </sheetViews>
  <sheetFormatPr defaultColWidth="8.58203125" defaultRowHeight="14"/>
  <cols>
    <col min="7" max="7" width="8.58203125" customWidth="1"/>
    <col min="13" max="13" width="8.58203125" style="3"/>
    <col min="14" max="14" width="10.75" style="4" customWidth="1"/>
    <col min="15" max="15" width="11.08203125" style="4" customWidth="1"/>
    <col min="16" max="16" width="12.08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成都纽瑞特医疗科技股份有限公司审计明细表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642</v>
      </c>
      <c r="C4" s="9" t="s">
        <v>52</v>
      </c>
      <c r="D4" s="9" t="s">
        <v>799</v>
      </c>
      <c r="E4" s="9" t="s">
        <v>800</v>
      </c>
      <c r="F4" s="9" t="s">
        <v>787</v>
      </c>
      <c r="G4" s="9" t="s">
        <v>801</v>
      </c>
      <c r="H4" s="9" t="s">
        <v>65</v>
      </c>
      <c r="I4" s="9" t="s">
        <v>72</v>
      </c>
      <c r="J4" s="9" t="s">
        <v>168</v>
      </c>
      <c r="K4" s="9">
        <v>1000</v>
      </c>
      <c r="L4" s="20" t="s">
        <v>802</v>
      </c>
      <c r="M4" s="20" t="s">
        <v>803</v>
      </c>
      <c r="N4" s="16">
        <v>45015</v>
      </c>
      <c r="O4" s="16">
        <v>45291</v>
      </c>
      <c r="P4" s="9">
        <f>P14-N4</f>
        <v>297</v>
      </c>
      <c r="Q4" s="22">
        <f>SUM(Q5:Q25)</f>
        <v>32.18</v>
      </c>
      <c r="R4" s="22">
        <v>11.38</v>
      </c>
      <c r="S4" s="9"/>
      <c r="T4" s="22">
        <f>SUM(T5:T25)</f>
        <v>32.18</v>
      </c>
      <c r="U4" s="23">
        <v>3.9E-2</v>
      </c>
      <c r="V4" s="16"/>
      <c r="W4" s="9" t="s">
        <v>42</v>
      </c>
      <c r="X4" s="24">
        <v>1.4999999999999999E-2</v>
      </c>
      <c r="Y4" s="9">
        <f>ROUNDDOWN(IF((O4-N4+1)*K4*X4/365&gt;R4,R4,(O4-N4+1)*K4*X4/365),2)</f>
        <v>11.38</v>
      </c>
      <c r="Z4" s="22">
        <f>R4-Y4</f>
        <v>0</v>
      </c>
      <c r="AA4" s="22"/>
      <c r="AB4" s="9" t="s">
        <v>61</v>
      </c>
      <c r="AD4" s="28">
        <f>(O4-N4+1)*K4*X4/365</f>
        <v>11.383599999999999</v>
      </c>
    </row>
    <row r="5" spans="1:30" s="2" customFormat="1" hidden="1">
      <c r="A5" s="10"/>
      <c r="B5" s="10"/>
      <c r="C5" s="10"/>
      <c r="D5" s="10"/>
      <c r="E5" s="10"/>
      <c r="F5" s="10"/>
      <c r="G5" s="10"/>
      <c r="H5" s="10"/>
      <c r="I5" s="10"/>
      <c r="J5" s="10"/>
      <c r="K5" s="10"/>
      <c r="L5" s="10"/>
      <c r="M5" s="17"/>
      <c r="N5" s="18"/>
      <c r="O5" s="16">
        <v>45380</v>
      </c>
      <c r="P5" s="18">
        <v>45037</v>
      </c>
      <c r="Q5" s="25">
        <v>2.38</v>
      </c>
      <c r="R5" s="10"/>
      <c r="S5" s="19">
        <f t="shared" ref="S5:S14" si="0">P5</f>
        <v>45037</v>
      </c>
      <c r="T5" s="25">
        <f>(S5-N4)/360*$U$4*$K$4</f>
        <v>2.38</v>
      </c>
      <c r="U5" s="25">
        <f t="shared" ref="U5:U14" si="1">T5-Q5</f>
        <v>0</v>
      </c>
      <c r="V5" s="18"/>
      <c r="W5" s="10"/>
      <c r="X5" s="10"/>
      <c r="Y5" s="10"/>
      <c r="Z5" s="10"/>
      <c r="AA5" s="10"/>
      <c r="AB5" s="10"/>
    </row>
    <row r="6" spans="1:30" s="2" customFormat="1" hidden="1">
      <c r="A6" s="10"/>
      <c r="B6" s="10"/>
      <c r="C6" s="10"/>
      <c r="D6" s="10"/>
      <c r="E6" s="10"/>
      <c r="F6" s="10"/>
      <c r="G6" s="10"/>
      <c r="H6" s="10"/>
      <c r="I6" s="10"/>
      <c r="J6" s="10"/>
      <c r="K6" s="10"/>
      <c r="L6" s="10"/>
      <c r="M6" s="17"/>
      <c r="N6" s="18"/>
      <c r="O6" s="18"/>
      <c r="P6" s="18">
        <v>45067</v>
      </c>
      <c r="Q6" s="25">
        <v>3.25</v>
      </c>
      <c r="R6" s="10"/>
      <c r="S6" s="19">
        <f t="shared" si="0"/>
        <v>45067</v>
      </c>
      <c r="T6" s="25">
        <f t="shared" ref="T6:T14" si="2">(S6-S5)*$K$4*$U$4/360</f>
        <v>3.25</v>
      </c>
      <c r="U6" s="25">
        <f t="shared" si="1"/>
        <v>0</v>
      </c>
      <c r="V6" s="10"/>
      <c r="W6" s="10"/>
      <c r="X6" s="10"/>
      <c r="Y6" s="10"/>
      <c r="Z6" s="10"/>
      <c r="AA6" s="10"/>
      <c r="AB6" s="10"/>
    </row>
    <row r="7" spans="1:30" s="2" customFormat="1" hidden="1">
      <c r="A7" s="10"/>
      <c r="B7" s="10"/>
      <c r="C7" s="10"/>
      <c r="D7" s="10"/>
      <c r="E7" s="10"/>
      <c r="F7" s="10"/>
      <c r="G7" s="10"/>
      <c r="H7" s="10"/>
      <c r="I7" s="10"/>
      <c r="J7" s="10"/>
      <c r="K7" s="10"/>
      <c r="L7" s="10"/>
      <c r="M7" s="17"/>
      <c r="N7" s="18"/>
      <c r="O7" s="18"/>
      <c r="P7" s="18">
        <v>45098</v>
      </c>
      <c r="Q7" s="25">
        <v>3.36</v>
      </c>
      <c r="R7" s="10"/>
      <c r="S7" s="19">
        <f t="shared" si="0"/>
        <v>45098</v>
      </c>
      <c r="T7" s="25">
        <f t="shared" si="2"/>
        <v>3.36</v>
      </c>
      <c r="U7" s="25">
        <f t="shared" si="1"/>
        <v>0</v>
      </c>
      <c r="V7" s="10"/>
      <c r="W7" s="10"/>
      <c r="X7" s="10"/>
      <c r="Y7" s="10"/>
      <c r="Z7" s="10"/>
      <c r="AA7" s="10"/>
      <c r="AB7" s="10"/>
    </row>
    <row r="8" spans="1:30" s="2" customFormat="1" hidden="1">
      <c r="A8" s="10"/>
      <c r="B8" s="10"/>
      <c r="C8" s="10"/>
      <c r="D8" s="10"/>
      <c r="E8" s="10"/>
      <c r="F8" s="10"/>
      <c r="G8" s="10"/>
      <c r="H8" s="10"/>
      <c r="I8" s="10"/>
      <c r="J8" s="10"/>
      <c r="K8" s="10"/>
      <c r="L8" s="10"/>
      <c r="M8" s="17"/>
      <c r="N8" s="18"/>
      <c r="O8" s="18"/>
      <c r="P8" s="18">
        <v>45128</v>
      </c>
      <c r="Q8" s="25">
        <v>3.25</v>
      </c>
      <c r="R8" s="10"/>
      <c r="S8" s="19">
        <f t="shared" si="0"/>
        <v>45128</v>
      </c>
      <c r="T8" s="25">
        <f t="shared" si="2"/>
        <v>3.25</v>
      </c>
      <c r="U8" s="25">
        <f t="shared" si="1"/>
        <v>0</v>
      </c>
      <c r="V8" s="10"/>
      <c r="W8" s="10"/>
      <c r="X8" s="10"/>
      <c r="Y8" s="10"/>
      <c r="Z8" s="10"/>
      <c r="AA8" s="10"/>
      <c r="AB8" s="10"/>
    </row>
    <row r="9" spans="1:30" s="2" customFormat="1" hidden="1">
      <c r="A9" s="10"/>
      <c r="B9" s="10"/>
      <c r="C9" s="10"/>
      <c r="D9" s="10"/>
      <c r="E9" s="10"/>
      <c r="F9" s="10"/>
      <c r="G9" s="10"/>
      <c r="H9" s="10"/>
      <c r="I9" s="10"/>
      <c r="J9" s="10"/>
      <c r="K9" s="10"/>
      <c r="L9" s="10"/>
      <c r="M9" s="17"/>
      <c r="N9" s="18"/>
      <c r="O9" s="18"/>
      <c r="P9" s="18">
        <v>45159</v>
      </c>
      <c r="Q9" s="25">
        <v>3.36</v>
      </c>
      <c r="R9" s="10"/>
      <c r="S9" s="19">
        <f t="shared" si="0"/>
        <v>45159</v>
      </c>
      <c r="T9" s="25">
        <f t="shared" si="2"/>
        <v>3.36</v>
      </c>
      <c r="U9" s="25">
        <f t="shared" si="1"/>
        <v>0</v>
      </c>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8">
        <v>45190</v>
      </c>
      <c r="Q10" s="25">
        <v>3.36</v>
      </c>
      <c r="R10" s="10"/>
      <c r="S10" s="19">
        <f t="shared" si="0"/>
        <v>45190</v>
      </c>
      <c r="T10" s="25">
        <f t="shared" si="2"/>
        <v>3.36</v>
      </c>
      <c r="U10" s="25">
        <f t="shared" si="1"/>
        <v>0</v>
      </c>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8">
        <v>45220</v>
      </c>
      <c r="Q11" s="25">
        <v>3.25</v>
      </c>
      <c r="R11" s="10"/>
      <c r="S11" s="19">
        <f t="shared" si="0"/>
        <v>45220</v>
      </c>
      <c r="T11" s="25">
        <f t="shared" si="2"/>
        <v>3.25</v>
      </c>
      <c r="U11" s="25">
        <f t="shared" si="1"/>
        <v>0</v>
      </c>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8">
        <v>45251</v>
      </c>
      <c r="Q12" s="25">
        <v>3.36</v>
      </c>
      <c r="R12" s="10"/>
      <c r="S12" s="19">
        <f t="shared" si="0"/>
        <v>45251</v>
      </c>
      <c r="T12" s="25">
        <f t="shared" si="2"/>
        <v>3.36</v>
      </c>
      <c r="U12" s="25">
        <f t="shared" si="1"/>
        <v>0</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8">
        <v>45281</v>
      </c>
      <c r="Q13" s="25">
        <v>3.25</v>
      </c>
      <c r="R13" s="10"/>
      <c r="S13" s="19">
        <f t="shared" si="0"/>
        <v>45281</v>
      </c>
      <c r="T13" s="25">
        <f t="shared" si="2"/>
        <v>3.25</v>
      </c>
      <c r="U13" s="25">
        <f t="shared" si="1"/>
        <v>0</v>
      </c>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8">
        <v>45312</v>
      </c>
      <c r="Q14" s="25">
        <v>3.36</v>
      </c>
      <c r="R14" s="10"/>
      <c r="S14" s="19">
        <f t="shared" si="0"/>
        <v>45312</v>
      </c>
      <c r="T14" s="25">
        <f t="shared" si="2"/>
        <v>3.36</v>
      </c>
      <c r="U14" s="25">
        <f t="shared" si="1"/>
        <v>0</v>
      </c>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98">
      <c r="A26" s="9">
        <v>2</v>
      </c>
      <c r="B26" s="9" t="str">
        <f t="shared" ref="B26:G26" si="3">B4</f>
        <v>成都纽瑞特医疗科技股份有限公司</v>
      </c>
      <c r="C26" s="9" t="str">
        <f t="shared" si="3"/>
        <v>成都市市场监督管理局</v>
      </c>
      <c r="D26" s="9" t="str">
        <f t="shared" si="3"/>
        <v>91510122MA61U3Q22C</v>
      </c>
      <c r="E26" s="9" t="str">
        <f t="shared" si="3"/>
        <v>股份有限公司(台港澳与境内合资、未上市)</v>
      </c>
      <c r="F26" s="9" t="str">
        <f t="shared" si="3"/>
        <v>国家税务总局成都市双流区税务局</v>
      </c>
      <c r="G26" s="9" t="str">
        <f t="shared" si="3"/>
        <v>收款账号：1001300000788931
开户行：成都银行公兴支行</v>
      </c>
      <c r="H26" s="9" t="s">
        <v>65</v>
      </c>
      <c r="I26" s="9" t="s">
        <v>279</v>
      </c>
      <c r="J26" s="9" t="s">
        <v>168</v>
      </c>
      <c r="K26" s="9">
        <v>1000</v>
      </c>
      <c r="L26" s="9" t="s">
        <v>804</v>
      </c>
      <c r="M26" s="20" t="s">
        <v>805</v>
      </c>
      <c r="N26" s="16">
        <v>45163</v>
      </c>
      <c r="O26" s="16">
        <v>45291</v>
      </c>
      <c r="P26" s="9">
        <f>P31-N26</f>
        <v>149</v>
      </c>
      <c r="Q26" s="22">
        <f>SUM(Q27:Q47)</f>
        <v>15.1</v>
      </c>
      <c r="R26" s="9">
        <v>5.05</v>
      </c>
      <c r="S26" s="9"/>
      <c r="T26" s="9">
        <f>SUM(T27:T47)</f>
        <v>15.73</v>
      </c>
      <c r="U26" s="23">
        <v>3.7999999999999999E-2</v>
      </c>
      <c r="V26" s="16"/>
      <c r="W26" s="9"/>
      <c r="X26" s="24">
        <v>1.4999999999999999E-2</v>
      </c>
      <c r="Y26" s="9">
        <f>ROUNDDOWN(IF((O26-N26+1)*K26*X26/365&gt;R26,R26,(O26-N26+1)*K26*X26/365),2)</f>
        <v>5.05</v>
      </c>
      <c r="Z26" s="9">
        <f>R26-Y26</f>
        <v>0</v>
      </c>
      <c r="AA26" s="9"/>
      <c r="AB26" s="9" t="s">
        <v>806</v>
      </c>
      <c r="AD26" s="1">
        <f>(O26-N26+1)*K26*X26/365</f>
        <v>5.3013698630136998</v>
      </c>
    </row>
    <row r="27" spans="1:30" s="2" customFormat="1">
      <c r="A27" s="10"/>
      <c r="B27" s="10"/>
      <c r="C27" s="10"/>
      <c r="D27" s="10"/>
      <c r="E27" s="10"/>
      <c r="F27" s="10"/>
      <c r="G27" s="10"/>
      <c r="H27" s="10"/>
      <c r="I27" s="10"/>
      <c r="J27" s="10"/>
      <c r="K27" s="10"/>
      <c r="L27" s="10"/>
      <c r="M27" s="17"/>
      <c r="N27" s="18"/>
      <c r="O27" s="16">
        <v>45528</v>
      </c>
      <c r="P27" s="19">
        <v>45190</v>
      </c>
      <c r="Q27" s="25">
        <v>2.2200000000000002</v>
      </c>
      <c r="R27" s="10"/>
      <c r="S27" s="19">
        <f t="shared" ref="S27:S31" si="4">P27</f>
        <v>45190</v>
      </c>
      <c r="T27" s="25">
        <f>(S27-N26)/360*$U$26*$K$26</f>
        <v>2.85</v>
      </c>
      <c r="U27" s="25">
        <f t="shared" ref="U27:U31" si="5">T27-Q27</f>
        <v>0.63</v>
      </c>
      <c r="V27" s="18"/>
      <c r="W27" s="10"/>
      <c r="X27" s="10"/>
      <c r="Y27" s="29"/>
      <c r="Z27" s="10"/>
      <c r="AA27" s="10"/>
      <c r="AB27" s="10"/>
    </row>
    <row r="28" spans="1:30" s="2" customFormat="1">
      <c r="A28" s="10"/>
      <c r="B28" s="10"/>
      <c r="C28" s="10"/>
      <c r="D28" s="10"/>
      <c r="E28" s="10"/>
      <c r="F28" s="10"/>
      <c r="G28" s="10"/>
      <c r="H28" s="10"/>
      <c r="I28" s="10"/>
      <c r="J28" s="10"/>
      <c r="K28" s="10"/>
      <c r="L28" s="10"/>
      <c r="M28" s="17"/>
      <c r="N28" s="18"/>
      <c r="O28" s="18"/>
      <c r="P28" s="19">
        <v>45220</v>
      </c>
      <c r="Q28" s="25">
        <v>3.17</v>
      </c>
      <c r="R28" s="10"/>
      <c r="S28" s="19">
        <f t="shared" si="4"/>
        <v>45220</v>
      </c>
      <c r="T28" s="25">
        <f t="shared" ref="T28:T31" si="6">(S28-S27)*$U$26*$K$26/360</f>
        <v>3.17</v>
      </c>
      <c r="U28" s="25">
        <f t="shared" si="5"/>
        <v>0</v>
      </c>
      <c r="V28" s="10"/>
      <c r="W28" s="10"/>
      <c r="X28" s="10"/>
      <c r="Y28" s="29"/>
      <c r="Z28" s="10"/>
      <c r="AA28" s="10"/>
      <c r="AB28" s="10"/>
    </row>
    <row r="29" spans="1:30" s="2" customFormat="1">
      <c r="A29" s="10"/>
      <c r="B29" s="10"/>
      <c r="C29" s="10"/>
      <c r="D29" s="10"/>
      <c r="E29" s="10"/>
      <c r="F29" s="10"/>
      <c r="G29" s="10"/>
      <c r="H29" s="10"/>
      <c r="I29" s="10"/>
      <c r="J29" s="10"/>
      <c r="K29" s="10"/>
      <c r="L29" s="10"/>
      <c r="M29" s="17"/>
      <c r="N29" s="18"/>
      <c r="O29" s="18"/>
      <c r="P29" s="19">
        <v>45251</v>
      </c>
      <c r="Q29" s="25">
        <v>3.27</v>
      </c>
      <c r="R29" s="10"/>
      <c r="S29" s="19">
        <f t="shared" si="4"/>
        <v>45251</v>
      </c>
      <c r="T29" s="25">
        <f t="shared" si="6"/>
        <v>3.27</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45281</v>
      </c>
      <c r="Q30" s="25">
        <v>3.17</v>
      </c>
      <c r="R30" s="10"/>
      <c r="S30" s="19">
        <f t="shared" si="4"/>
        <v>45281</v>
      </c>
      <c r="T30" s="25">
        <f t="shared" si="6"/>
        <v>3.17</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45312</v>
      </c>
      <c r="Q31" s="25">
        <v>3.27</v>
      </c>
      <c r="R31" s="10"/>
      <c r="S31" s="19">
        <f t="shared" si="4"/>
        <v>45312</v>
      </c>
      <c r="T31" s="25">
        <f t="shared" si="6"/>
        <v>3.27</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 t="shared" ref="B48:G48" si="7">B26</f>
        <v>成都纽瑞特医疗科技股份有限公司</v>
      </c>
      <c r="C48" s="9" t="str">
        <f t="shared" si="7"/>
        <v>成都市市场监督管理局</v>
      </c>
      <c r="D48" s="9" t="str">
        <f t="shared" si="7"/>
        <v>91510122MA61U3Q22C</v>
      </c>
      <c r="E48" s="9" t="str">
        <f t="shared" si="7"/>
        <v>股份有限公司(台港澳与境内合资、未上市)</v>
      </c>
      <c r="F48" s="9" t="str">
        <f t="shared" si="7"/>
        <v>国家税务总局成都市双流区税务局</v>
      </c>
      <c r="G48" s="9" t="str">
        <f t="shared" si="7"/>
        <v>收款账号：1001300000788931
开户行：成都银行公兴支行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P50</f>
        <v>0</v>
      </c>
      <c r="T50" s="25">
        <f>(S50-S49)*$U$48*$K$48/360</f>
        <v>0</v>
      </c>
      <c r="U50" s="25">
        <f>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 t="shared" ref="B70:G70" si="8">B48</f>
        <v>成都纽瑞特医疗科技股份有限公司</v>
      </c>
      <c r="C70" s="9" t="str">
        <f t="shared" si="8"/>
        <v>成都市市场监督管理局</v>
      </c>
      <c r="D70" s="9" t="str">
        <f t="shared" si="8"/>
        <v>91510122MA61U3Q22C</v>
      </c>
      <c r="E70" s="9" t="str">
        <f t="shared" si="8"/>
        <v>股份有限公司(台港澳与境内合资、未上市)</v>
      </c>
      <c r="F70" s="9" t="str">
        <f t="shared" si="8"/>
        <v>国家税务总局成都市双流区税务局</v>
      </c>
      <c r="G70" s="9" t="str">
        <f t="shared" si="8"/>
        <v>收款账号：1001300000788931
开户行：成都银行公兴支行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 t="shared" ref="B92:G92" si="9">B70</f>
        <v>成都纽瑞特医疗科技股份有限公司</v>
      </c>
      <c r="C92" s="9" t="str">
        <f t="shared" si="9"/>
        <v>成都市市场监督管理局</v>
      </c>
      <c r="D92" s="9" t="str">
        <f t="shared" si="9"/>
        <v>91510122MA61U3Q22C</v>
      </c>
      <c r="E92" s="9" t="str">
        <f t="shared" si="9"/>
        <v>股份有限公司(台港澳与境内合资、未上市)</v>
      </c>
      <c r="F92" s="9" t="str">
        <f t="shared" si="9"/>
        <v>国家税务总局成都市双流区税务局</v>
      </c>
      <c r="G92" s="9" t="str">
        <f t="shared" si="9"/>
        <v>收款账号：1001300000788931
开户行：成都银行公兴支行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20"/>
      <c r="N114" s="16"/>
      <c r="O114" s="16"/>
      <c r="P114" s="9"/>
      <c r="Q114" s="9"/>
      <c r="R114" s="9">
        <f>R92+R70+R48+R26++R4</f>
        <v>16.43</v>
      </c>
      <c r="S114" s="9"/>
      <c r="T114" s="9"/>
      <c r="U114" s="9"/>
      <c r="V114" s="9"/>
      <c r="W114" s="9"/>
      <c r="X114" s="9"/>
      <c r="Y114" s="9">
        <f>Y92+Y70+Y48+Y26++Y4</f>
        <v>16.43</v>
      </c>
      <c r="Z114" s="9"/>
      <c r="AA114" s="9"/>
      <c r="AB114" s="9"/>
    </row>
    <row r="115" spans="1:28">
      <c r="I115" t="s">
        <v>49</v>
      </c>
      <c r="K115">
        <f>IF(K114&gt;3000,K116,K114)</f>
        <v>2000</v>
      </c>
    </row>
    <row r="116" spans="1:28">
      <c r="K116" t="s">
        <v>50</v>
      </c>
    </row>
  </sheetData>
  <autoFilter ref="A3:AD14" xr:uid="{00000000-0009-0000-0000-000047000000}">
    <filterColumn colId="1">
      <colorFilter dxfId="3"/>
    </filterColumn>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D116"/>
  <sheetViews>
    <sheetView zoomScale="60" zoomScaleNormal="60" workbookViewId="0">
      <pane ySplit="3" topLeftCell="A4" activePane="bottomLeft" state="frozen"/>
      <selection pane="bottomLeft" activeCell="B4" sqref="B4:AB4"/>
    </sheetView>
  </sheetViews>
  <sheetFormatPr defaultColWidth="8.58203125" defaultRowHeight="14"/>
  <cols>
    <col min="7" max="7" width="9" customWidth="1"/>
    <col min="13" max="13" width="8.58203125" style="3"/>
    <col min="14" max="14" width="10.75" style="4" customWidth="1"/>
    <col min="15" max="15" width="11.0820312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成都通威动物营养科技有限公司审计明细表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54">
      <c r="A4" s="9">
        <v>1</v>
      </c>
      <c r="B4" s="9" t="s">
        <v>663</v>
      </c>
      <c r="C4" s="9" t="s">
        <v>785</v>
      </c>
      <c r="D4" s="9" t="s">
        <v>807</v>
      </c>
      <c r="E4" s="9" t="s">
        <v>808</v>
      </c>
      <c r="F4" s="9" t="s">
        <v>787</v>
      </c>
      <c r="G4" s="9" t="s">
        <v>809</v>
      </c>
      <c r="H4" s="9" t="s">
        <v>65</v>
      </c>
      <c r="I4" s="9" t="s">
        <v>148</v>
      </c>
      <c r="J4" s="9" t="s">
        <v>168</v>
      </c>
      <c r="K4" s="9">
        <v>1000</v>
      </c>
      <c r="L4" s="9" t="s">
        <v>810</v>
      </c>
      <c r="M4" s="9" t="s">
        <v>811</v>
      </c>
      <c r="N4" s="16">
        <v>44970</v>
      </c>
      <c r="O4" s="16">
        <v>45291</v>
      </c>
      <c r="P4" s="9">
        <f>P14-N4</f>
        <v>294</v>
      </c>
      <c r="Q4" s="22">
        <f>SUM(Q5:Q25)</f>
        <v>24.03</v>
      </c>
      <c r="R4" s="22">
        <v>13.19</v>
      </c>
      <c r="S4" s="9"/>
      <c r="T4" s="22">
        <f>SUM(T5:T25)</f>
        <v>28.57</v>
      </c>
      <c r="U4" s="23">
        <f>3.65%-0.15%</f>
        <v>3.5000000000000003E-2</v>
      </c>
      <c r="V4" s="16"/>
      <c r="W4" s="9" t="s">
        <v>42</v>
      </c>
      <c r="X4" s="24">
        <f>IFERROR(INDEX([2]支持标准!$F$3:$F$5,MATCH('[2]62'!H4,[2]支持标准!$B$3:$B$5)),0)</f>
        <v>1.4999999999999999E-2</v>
      </c>
      <c r="Y4" s="9">
        <f>ROUNDDOWN(IF((O4-N4+1)*K4*X4/365&gt;R4,R4,(O4-N4+1)*K4*X4/365),2)</f>
        <v>13.19</v>
      </c>
      <c r="Z4" s="22">
        <f>R4-Y4</f>
        <v>0</v>
      </c>
      <c r="AA4" s="22"/>
      <c r="AB4" s="9" t="s">
        <v>812</v>
      </c>
      <c r="AD4" s="28">
        <f>(O4-N4+1)*K4*X4/365</f>
        <v>13.232900000000001</v>
      </c>
    </row>
    <row r="5" spans="1:30" s="2" customFormat="1">
      <c r="A5" s="10"/>
      <c r="B5" s="10"/>
      <c r="C5" s="10"/>
      <c r="D5" s="10"/>
      <c r="E5" s="10"/>
      <c r="F5" s="10"/>
      <c r="G5" s="10"/>
      <c r="H5" s="10"/>
      <c r="I5" s="10"/>
      <c r="J5" s="10"/>
      <c r="K5" s="10"/>
      <c r="L5" s="10"/>
      <c r="M5" s="32"/>
      <c r="N5" s="18"/>
      <c r="O5" s="16">
        <v>45334</v>
      </c>
      <c r="P5" s="19">
        <v>45006</v>
      </c>
      <c r="Q5" s="25">
        <v>2.88</v>
      </c>
      <c r="R5" s="10"/>
      <c r="S5" s="19">
        <f t="shared" ref="S5:S14" si="0">P5</f>
        <v>45006</v>
      </c>
      <c r="T5" s="25">
        <f>(S5-N4)/360*$U$4*$K$4</f>
        <v>3.5</v>
      </c>
      <c r="U5" s="25">
        <f t="shared" ref="U5:U14" si="1">T5-Q5</f>
        <v>0.62</v>
      </c>
      <c r="V5" s="18"/>
      <c r="W5" s="10"/>
      <c r="X5" s="10"/>
      <c r="Y5" s="10"/>
      <c r="Z5" s="10"/>
      <c r="AA5" s="10"/>
      <c r="AB5" s="10"/>
    </row>
    <row r="6" spans="1:30" s="2" customFormat="1">
      <c r="A6" s="10"/>
      <c r="B6" s="10"/>
      <c r="C6" s="10"/>
      <c r="D6" s="10"/>
      <c r="E6" s="10"/>
      <c r="F6" s="10"/>
      <c r="G6" s="10"/>
      <c r="H6" s="10"/>
      <c r="I6" s="10"/>
      <c r="J6" s="10"/>
      <c r="K6" s="10"/>
      <c r="L6" s="10"/>
      <c r="M6" s="17"/>
      <c r="N6" s="18"/>
      <c r="O6" s="18"/>
      <c r="P6" s="19">
        <v>45037</v>
      </c>
      <c r="Q6" s="25">
        <v>2.54</v>
      </c>
      <c r="R6" s="10"/>
      <c r="S6" s="19">
        <f t="shared" si="0"/>
        <v>45037</v>
      </c>
      <c r="T6" s="25">
        <f t="shared" ref="T6:T14" si="2">(S6-S5)*$K$4*$U$4/360</f>
        <v>3.01</v>
      </c>
      <c r="U6" s="25">
        <f t="shared" si="1"/>
        <v>0.47</v>
      </c>
      <c r="V6" s="10"/>
      <c r="W6" s="10"/>
      <c r="X6" s="10"/>
      <c r="Y6" s="10"/>
      <c r="Z6" s="10"/>
      <c r="AA6" s="10"/>
      <c r="AB6" s="10"/>
    </row>
    <row r="7" spans="1:30" s="2" customFormat="1">
      <c r="A7" s="10"/>
      <c r="B7" s="10"/>
      <c r="C7" s="10"/>
      <c r="D7" s="10"/>
      <c r="E7" s="10"/>
      <c r="F7" s="10"/>
      <c r="G7" s="10"/>
      <c r="H7" s="10"/>
      <c r="I7" s="10"/>
      <c r="J7" s="10"/>
      <c r="K7" s="10"/>
      <c r="L7" s="10"/>
      <c r="M7" s="17"/>
      <c r="N7" s="18"/>
      <c r="O7" s="18"/>
      <c r="P7" s="19">
        <v>45067</v>
      </c>
      <c r="Q7" s="25">
        <v>2.46</v>
      </c>
      <c r="R7" s="10"/>
      <c r="S7" s="19">
        <f t="shared" si="0"/>
        <v>45067</v>
      </c>
      <c r="T7" s="25">
        <f t="shared" si="2"/>
        <v>2.92</v>
      </c>
      <c r="U7" s="25">
        <f t="shared" si="1"/>
        <v>0.46</v>
      </c>
      <c r="V7" s="10"/>
      <c r="W7" s="10"/>
      <c r="X7" s="10"/>
      <c r="Y7" s="10"/>
      <c r="Z7" s="10"/>
      <c r="AA7" s="10"/>
      <c r="AB7" s="10"/>
    </row>
    <row r="8" spans="1:30" s="2" customFormat="1">
      <c r="A8" s="10"/>
      <c r="B8" s="10"/>
      <c r="C8" s="10"/>
      <c r="D8" s="10"/>
      <c r="E8" s="10"/>
      <c r="F8" s="10"/>
      <c r="G8" s="10"/>
      <c r="H8" s="10"/>
      <c r="I8" s="10"/>
      <c r="J8" s="10"/>
      <c r="K8" s="10"/>
      <c r="L8" s="10"/>
      <c r="M8" s="17"/>
      <c r="N8" s="18"/>
      <c r="O8" s="18"/>
      <c r="P8" s="19">
        <v>45098</v>
      </c>
      <c r="Q8" s="25">
        <v>2.54</v>
      </c>
      <c r="R8" s="10"/>
      <c r="S8" s="19">
        <f t="shared" si="0"/>
        <v>45098</v>
      </c>
      <c r="T8" s="25">
        <f t="shared" si="2"/>
        <v>3.01</v>
      </c>
      <c r="U8" s="25">
        <f t="shared" si="1"/>
        <v>0.47</v>
      </c>
      <c r="V8" s="10"/>
      <c r="W8" s="10"/>
      <c r="X8" s="10"/>
      <c r="Y8" s="10"/>
      <c r="Z8" s="10"/>
      <c r="AA8" s="10"/>
      <c r="AB8" s="10"/>
    </row>
    <row r="9" spans="1:30" s="2" customFormat="1">
      <c r="A9" s="10"/>
      <c r="B9" s="10"/>
      <c r="C9" s="10"/>
      <c r="D9" s="10"/>
      <c r="E9" s="10"/>
      <c r="F9" s="10"/>
      <c r="G9" s="10"/>
      <c r="H9" s="10"/>
      <c r="I9" s="10"/>
      <c r="J9" s="10"/>
      <c r="K9" s="10"/>
      <c r="L9" s="10"/>
      <c r="M9" s="17"/>
      <c r="N9" s="18"/>
      <c r="O9" s="18"/>
      <c r="P9" s="19">
        <v>45128</v>
      </c>
      <c r="Q9" s="25">
        <v>2.46</v>
      </c>
      <c r="R9" s="10"/>
      <c r="S9" s="19">
        <f t="shared" si="0"/>
        <v>45128</v>
      </c>
      <c r="T9" s="25">
        <f t="shared" si="2"/>
        <v>2.92</v>
      </c>
      <c r="U9" s="25">
        <f t="shared" si="1"/>
        <v>0.46</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45159</v>
      </c>
      <c r="Q10" s="25">
        <v>2.54</v>
      </c>
      <c r="R10" s="10"/>
      <c r="S10" s="19">
        <f t="shared" si="0"/>
        <v>45159</v>
      </c>
      <c r="T10" s="25">
        <f t="shared" si="2"/>
        <v>3.01</v>
      </c>
      <c r="U10" s="25">
        <f t="shared" si="1"/>
        <v>0.47</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45190</v>
      </c>
      <c r="Q11" s="25">
        <v>2.54</v>
      </c>
      <c r="R11" s="10"/>
      <c r="S11" s="19">
        <f t="shared" si="0"/>
        <v>45190</v>
      </c>
      <c r="T11" s="25">
        <f t="shared" si="2"/>
        <v>3.01</v>
      </c>
      <c r="U11" s="25">
        <f t="shared" si="1"/>
        <v>0.47</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45220</v>
      </c>
      <c r="Q12" s="25">
        <v>2.46</v>
      </c>
      <c r="R12" s="10"/>
      <c r="S12" s="19">
        <f t="shared" si="0"/>
        <v>45220</v>
      </c>
      <c r="T12" s="25">
        <f t="shared" si="2"/>
        <v>2.92</v>
      </c>
      <c r="U12" s="25">
        <f t="shared" si="1"/>
        <v>0.46</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45251</v>
      </c>
      <c r="Q13" s="25">
        <v>2.54</v>
      </c>
      <c r="R13" s="10"/>
      <c r="S13" s="19">
        <f t="shared" si="0"/>
        <v>45251</v>
      </c>
      <c r="T13" s="25">
        <f t="shared" si="2"/>
        <v>3.01</v>
      </c>
      <c r="U13" s="25">
        <f t="shared" si="1"/>
        <v>0.47</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45264</v>
      </c>
      <c r="Q14" s="25">
        <v>1.07</v>
      </c>
      <c r="R14" s="10"/>
      <c r="S14" s="19">
        <f t="shared" si="0"/>
        <v>45264</v>
      </c>
      <c r="T14" s="25">
        <f t="shared" si="2"/>
        <v>1.26</v>
      </c>
      <c r="U14" s="25">
        <f t="shared" si="1"/>
        <v>0.19</v>
      </c>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54" hidden="1">
      <c r="A26" s="9">
        <v>2</v>
      </c>
      <c r="B26" s="9" t="str">
        <f t="shared" ref="B26:G26" si="3">B4</f>
        <v>成都通威动物营养科技有限公司</v>
      </c>
      <c r="C26" s="9" t="str">
        <f t="shared" si="3"/>
        <v>成都市双流区行政审批局</v>
      </c>
      <c r="D26" s="9" t="str">
        <f t="shared" si="3"/>
        <v>915101227130329181</v>
      </c>
      <c r="E26" s="9" t="str">
        <f t="shared" si="3"/>
        <v>有限责任公司（非自然人投资或控股的法人独资）</v>
      </c>
      <c r="F26" s="9" t="str">
        <f t="shared" si="3"/>
        <v>国家税务总局成都市双流区税务局</v>
      </c>
      <c r="G26" s="9" t="str">
        <f t="shared" si="3"/>
        <v>收款账号：22827501040005124
开户行：中国农业银行股份有限公司双流文星支行</v>
      </c>
      <c r="H26" s="9"/>
      <c r="I26" s="9"/>
      <c r="J26" s="9"/>
      <c r="K26" s="9"/>
      <c r="L26" s="9"/>
      <c r="M26" s="20"/>
      <c r="N26" s="16"/>
      <c r="O26" s="16"/>
      <c r="P26" s="9">
        <f>P32-N26</f>
        <v>0</v>
      </c>
      <c r="Q26" s="22">
        <f>SUM(Q27:Q47)</f>
        <v>0</v>
      </c>
      <c r="R26" s="9"/>
      <c r="S26" s="9"/>
      <c r="T26" s="9">
        <f>SUM(T27:T47)</f>
        <v>0</v>
      </c>
      <c r="U26" s="23"/>
      <c r="V26" s="16"/>
      <c r="W26" s="9"/>
      <c r="X26" s="24"/>
      <c r="Y26" s="9">
        <f>ROUNDUP(IF((O26-N26+1)*K26*X26/365&gt;R26,R26,(O26-N26+1)*K26*X26/365),2)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 t="shared" ref="S27:S32" si="4">P27</f>
        <v>0</v>
      </c>
      <c r="T27" s="25">
        <f>(S27-N26)/360*$U$26*$K$26</f>
        <v>0</v>
      </c>
      <c r="U27" s="25">
        <f t="shared" ref="U27:U32" si="5">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si="4"/>
        <v>0</v>
      </c>
      <c r="T28" s="25">
        <f t="shared" ref="T28:T32" si="6">(S28-S27)*$U$26*$K$26/360</f>
        <v>0</v>
      </c>
      <c r="U28" s="25">
        <f t="shared" si="5"/>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si="6"/>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54" hidden="1">
      <c r="A48" s="9">
        <v>3</v>
      </c>
      <c r="B48" s="9" t="str">
        <f t="shared" ref="B48:G48" si="7">B26</f>
        <v>成都通威动物营养科技有限公司</v>
      </c>
      <c r="C48" s="9" t="str">
        <f t="shared" si="7"/>
        <v>成都市双流区行政审批局</v>
      </c>
      <c r="D48" s="9" t="str">
        <f t="shared" si="7"/>
        <v>915101227130329181</v>
      </c>
      <c r="E48" s="9" t="str">
        <f t="shared" si="7"/>
        <v>有限责任公司（非自然人投资或控股的法人独资）</v>
      </c>
      <c r="F48" s="9" t="str">
        <f t="shared" si="7"/>
        <v>国家税务总局成都市双流区税务局</v>
      </c>
      <c r="G48" s="9" t="str">
        <f t="shared" si="7"/>
        <v>收款账号：22827501040005124
开户行：中国农业银行股份有限公司双流文星支行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P50</f>
        <v>0</v>
      </c>
      <c r="T50" s="25">
        <f>(S50-S49)*$U$48*$K$48/360</f>
        <v>0</v>
      </c>
      <c r="U50" s="25">
        <f>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54" hidden="1">
      <c r="A70" s="9">
        <v>4</v>
      </c>
      <c r="B70" s="9" t="str">
        <f t="shared" ref="B70:G70" si="8">B48</f>
        <v>成都通威动物营养科技有限公司</v>
      </c>
      <c r="C70" s="9" t="str">
        <f t="shared" si="8"/>
        <v>成都市双流区行政审批局</v>
      </c>
      <c r="D70" s="9" t="str">
        <f t="shared" si="8"/>
        <v>915101227130329181</v>
      </c>
      <c r="E70" s="9" t="str">
        <f t="shared" si="8"/>
        <v>有限责任公司（非自然人投资或控股的法人独资）</v>
      </c>
      <c r="F70" s="9" t="str">
        <f t="shared" si="8"/>
        <v>国家税务总局成都市双流区税务局</v>
      </c>
      <c r="G70" s="9" t="str">
        <f t="shared" si="8"/>
        <v>收款账号：22827501040005124
开户行：中国农业银行股份有限公司双流文星支行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54" hidden="1">
      <c r="A92" s="9">
        <v>5</v>
      </c>
      <c r="B92" s="9" t="str">
        <f t="shared" ref="B92:G92" si="9">B70</f>
        <v>成都通威动物营养科技有限公司</v>
      </c>
      <c r="C92" s="9" t="str">
        <f t="shared" si="9"/>
        <v>成都市双流区行政审批局</v>
      </c>
      <c r="D92" s="9" t="str">
        <f t="shared" si="9"/>
        <v>915101227130329181</v>
      </c>
      <c r="E92" s="9" t="str">
        <f t="shared" si="9"/>
        <v>有限责任公司（非自然人投资或控股的法人独资）</v>
      </c>
      <c r="F92" s="9" t="str">
        <f t="shared" si="9"/>
        <v>国家税务总局成都市双流区税务局</v>
      </c>
      <c r="G92" s="9" t="str">
        <f t="shared" si="9"/>
        <v>收款账号：22827501040005124
开户行：中国农业银行股份有限公司双流文星支行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9">
        <f>R92+R70+R48+R26++R4</f>
        <v>13.19</v>
      </c>
      <c r="S114" s="9"/>
      <c r="T114" s="9"/>
      <c r="U114" s="9"/>
      <c r="V114" s="9"/>
      <c r="W114" s="9"/>
      <c r="X114" s="9"/>
      <c r="Y114" s="9">
        <f>Y92+Y70+Y48+Y26++Y4</f>
        <v>13.19</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D116"/>
  <sheetViews>
    <sheetView topLeftCell="G1" zoomScale="70" zoomScaleNormal="70" workbookViewId="0">
      <pane ySplit="3" topLeftCell="A4" activePane="bottomLeft" state="frozen"/>
      <selection pane="bottomLeft" activeCell="N26" sqref="N26:AB26"/>
    </sheetView>
  </sheetViews>
  <sheetFormatPr defaultColWidth="8.58203125" defaultRowHeight="14"/>
  <cols>
    <col min="7" max="7" width="9" customWidth="1"/>
    <col min="13" max="13" width="11.5" style="3" customWidth="1"/>
    <col min="14" max="14" width="10.75" style="4" customWidth="1"/>
    <col min="15" max="15" width="11.08203125" style="4" customWidth="1"/>
    <col min="16" max="16" width="9.83203125" customWidth="1"/>
    <col min="18" max="18" width="12.08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成都通宇航空设备制造有限公司审计明细表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26">
      <c r="A4" s="9">
        <v>1</v>
      </c>
      <c r="B4" s="9" t="s">
        <v>666</v>
      </c>
      <c r="C4" s="9" t="s">
        <v>785</v>
      </c>
      <c r="D4" s="9" t="s">
        <v>813</v>
      </c>
      <c r="E4" s="9" t="s">
        <v>808</v>
      </c>
      <c r="F4" s="9" t="s">
        <v>787</v>
      </c>
      <c r="G4" s="9" t="s">
        <v>814</v>
      </c>
      <c r="H4" s="126" t="s">
        <v>156</v>
      </c>
      <c r="I4" s="9" t="s">
        <v>815</v>
      </c>
      <c r="J4" s="9" t="s">
        <v>168</v>
      </c>
      <c r="K4" s="9">
        <v>3000</v>
      </c>
      <c r="L4" s="9" t="s">
        <v>816</v>
      </c>
      <c r="M4" s="20" t="s">
        <v>817</v>
      </c>
      <c r="N4" s="16">
        <v>44882</v>
      </c>
      <c r="O4" s="16">
        <v>45240</v>
      </c>
      <c r="P4" s="9">
        <f>P16-N4</f>
        <v>358</v>
      </c>
      <c r="Q4" s="22">
        <f>SUM(Q5:Q25)</f>
        <v>113.39</v>
      </c>
      <c r="R4" s="22">
        <v>59</v>
      </c>
      <c r="S4" s="9"/>
      <c r="T4" s="22">
        <f>SUM(T5:T25)</f>
        <v>113.39</v>
      </c>
      <c r="U4" s="23">
        <v>3.7999999999999999E-2</v>
      </c>
      <c r="V4" s="16"/>
      <c r="W4" s="9" t="s">
        <v>42</v>
      </c>
      <c r="X4" s="24">
        <v>0.02</v>
      </c>
      <c r="Y4" s="9">
        <f>ROUNDDOWN(IF((O4-N4+1)*K4*X4/365&gt;R4,R4,(O4-N4+1)*K4*X4/365),2)</f>
        <v>59</v>
      </c>
      <c r="Z4" s="22">
        <f>R4-Y4</f>
        <v>0</v>
      </c>
      <c r="AA4" s="22"/>
      <c r="AB4" s="9" t="s">
        <v>61</v>
      </c>
      <c r="AD4" s="28">
        <f>ROUNDDOWN((O4-N4+1)*K4*X4/365,2)</f>
        <v>59.01</v>
      </c>
    </row>
    <row r="5" spans="1:30" s="2" customFormat="1">
      <c r="A5" s="10"/>
      <c r="B5" s="10"/>
      <c r="C5" s="10"/>
      <c r="D5" s="10"/>
      <c r="E5" s="10"/>
      <c r="F5" s="10"/>
      <c r="G5" s="10"/>
      <c r="H5" s="10"/>
      <c r="I5" s="10"/>
      <c r="J5" s="10"/>
      <c r="K5" s="10"/>
      <c r="L5" s="10"/>
      <c r="M5" s="32" t="s">
        <v>562</v>
      </c>
      <c r="N5" s="18"/>
      <c r="O5" s="18"/>
      <c r="P5" s="19">
        <v>44916</v>
      </c>
      <c r="Q5" s="25">
        <v>10.77</v>
      </c>
      <c r="R5" s="10"/>
      <c r="S5" s="19">
        <f t="shared" ref="S5:S16" si="0">P5</f>
        <v>44916</v>
      </c>
      <c r="T5" s="25">
        <f>(S5-N4)/360*$U$4*$K$4</f>
        <v>10.77</v>
      </c>
      <c r="U5" s="25">
        <f t="shared" ref="U5:U16" si="1">T5-Q5</f>
        <v>0</v>
      </c>
      <c r="V5" s="18"/>
      <c r="W5" s="10"/>
      <c r="X5" s="10"/>
      <c r="Y5" s="10"/>
      <c r="Z5" s="10"/>
      <c r="AA5" s="10"/>
      <c r="AB5" s="10"/>
    </row>
    <row r="6" spans="1:30" s="2" customFormat="1">
      <c r="A6" s="10"/>
      <c r="B6" s="10"/>
      <c r="C6" s="10"/>
      <c r="D6" s="10"/>
      <c r="E6" s="10"/>
      <c r="F6" s="10"/>
      <c r="G6" s="10"/>
      <c r="H6" s="10"/>
      <c r="I6" s="10"/>
      <c r="J6" s="10"/>
      <c r="K6" s="10"/>
      <c r="L6" s="10"/>
      <c r="M6" s="17"/>
      <c r="N6" s="18"/>
      <c r="O6" s="18"/>
      <c r="P6" s="19">
        <v>44947</v>
      </c>
      <c r="Q6" s="25">
        <v>9.82</v>
      </c>
      <c r="R6" s="10"/>
      <c r="S6" s="19">
        <f t="shared" si="0"/>
        <v>44947</v>
      </c>
      <c r="T6" s="25">
        <f t="shared" ref="T6:T16" si="2">(S6-S5)*$K$4*$U$4/360</f>
        <v>9.82</v>
      </c>
      <c r="U6" s="25">
        <f t="shared" si="1"/>
        <v>0</v>
      </c>
      <c r="V6" s="10"/>
      <c r="W6" s="10"/>
      <c r="X6" s="10"/>
      <c r="Y6" s="10"/>
      <c r="Z6" s="10"/>
      <c r="AA6" s="10"/>
      <c r="AB6" s="10"/>
    </row>
    <row r="7" spans="1:30" s="2" customFormat="1">
      <c r="A7" s="10"/>
      <c r="B7" s="10"/>
      <c r="C7" s="10"/>
      <c r="D7" s="10"/>
      <c r="E7" s="10"/>
      <c r="F7" s="10"/>
      <c r="G7" s="10"/>
      <c r="H7" s="10"/>
      <c r="I7" s="10"/>
      <c r="J7" s="10"/>
      <c r="K7" s="10"/>
      <c r="L7" s="10"/>
      <c r="M7" s="17"/>
      <c r="N7" s="18"/>
      <c r="O7" s="18"/>
      <c r="P7" s="19">
        <v>44978</v>
      </c>
      <c r="Q7" s="25">
        <v>9.82</v>
      </c>
      <c r="R7" s="10"/>
      <c r="S7" s="19">
        <f t="shared" si="0"/>
        <v>44978</v>
      </c>
      <c r="T7" s="25">
        <f t="shared" si="2"/>
        <v>9.82</v>
      </c>
      <c r="U7" s="25">
        <f t="shared" si="1"/>
        <v>0</v>
      </c>
      <c r="V7" s="10"/>
      <c r="W7" s="10"/>
      <c r="X7" s="10"/>
      <c r="Y7" s="10"/>
      <c r="Z7" s="10"/>
      <c r="AA7" s="10"/>
      <c r="AB7" s="10"/>
    </row>
    <row r="8" spans="1:30" s="2" customFormat="1">
      <c r="A8" s="10"/>
      <c r="B8" s="10"/>
      <c r="C8" s="10"/>
      <c r="D8" s="10"/>
      <c r="E8" s="10"/>
      <c r="F8" s="10"/>
      <c r="G8" s="10"/>
      <c r="H8" s="10"/>
      <c r="I8" s="10"/>
      <c r="J8" s="10"/>
      <c r="K8" s="10"/>
      <c r="L8" s="10"/>
      <c r="M8" s="17"/>
      <c r="N8" s="18"/>
      <c r="O8" s="18"/>
      <c r="P8" s="19">
        <v>45006</v>
      </c>
      <c r="Q8" s="25">
        <v>8.8699999999999992</v>
      </c>
      <c r="R8" s="10"/>
      <c r="S8" s="19">
        <f t="shared" si="0"/>
        <v>45006</v>
      </c>
      <c r="T8" s="25">
        <f t="shared" si="2"/>
        <v>8.8699999999999992</v>
      </c>
      <c r="U8" s="25">
        <f t="shared" si="1"/>
        <v>0</v>
      </c>
      <c r="V8" s="10"/>
      <c r="W8" s="10"/>
      <c r="X8" s="10"/>
      <c r="Y8" s="10"/>
      <c r="Z8" s="10"/>
      <c r="AA8" s="10"/>
      <c r="AB8" s="10"/>
    </row>
    <row r="9" spans="1:30" s="2" customFormat="1">
      <c r="A9" s="10"/>
      <c r="B9" s="10"/>
      <c r="C9" s="10"/>
      <c r="D9" s="10"/>
      <c r="E9" s="10"/>
      <c r="F9" s="10"/>
      <c r="G9" s="10"/>
      <c r="H9" s="10"/>
      <c r="I9" s="10"/>
      <c r="J9" s="10"/>
      <c r="K9" s="10"/>
      <c r="L9" s="10"/>
      <c r="M9" s="17"/>
      <c r="N9" s="18"/>
      <c r="O9" s="18"/>
      <c r="P9" s="19">
        <v>45037</v>
      </c>
      <c r="Q9" s="25">
        <v>9.82</v>
      </c>
      <c r="R9" s="10"/>
      <c r="S9" s="19">
        <f t="shared" si="0"/>
        <v>45037</v>
      </c>
      <c r="T9" s="25">
        <f t="shared" si="2"/>
        <v>9.82</v>
      </c>
      <c r="U9" s="25">
        <f t="shared" si="1"/>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45067</v>
      </c>
      <c r="Q10" s="25">
        <v>9.5</v>
      </c>
      <c r="R10" s="10"/>
      <c r="S10" s="19">
        <f t="shared" si="0"/>
        <v>45067</v>
      </c>
      <c r="T10" s="25">
        <f t="shared" si="2"/>
        <v>9.5</v>
      </c>
      <c r="U10" s="25">
        <f t="shared" si="1"/>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45098</v>
      </c>
      <c r="Q11" s="25">
        <v>9.82</v>
      </c>
      <c r="R11" s="10"/>
      <c r="S11" s="19">
        <f t="shared" si="0"/>
        <v>45098</v>
      </c>
      <c r="T11" s="25">
        <f t="shared" si="2"/>
        <v>9.82</v>
      </c>
      <c r="U11" s="25">
        <f t="shared" si="1"/>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45128</v>
      </c>
      <c r="Q12" s="25">
        <v>9.5</v>
      </c>
      <c r="R12" s="10"/>
      <c r="S12" s="19">
        <f t="shared" si="0"/>
        <v>45128</v>
      </c>
      <c r="T12" s="25">
        <f t="shared" si="2"/>
        <v>9.5</v>
      </c>
      <c r="U12" s="25">
        <f t="shared" si="1"/>
        <v>0</v>
      </c>
      <c r="V12" s="10"/>
      <c r="W12" s="10"/>
      <c r="X12" s="10"/>
      <c r="Y12" s="10"/>
      <c r="Z12" s="10"/>
      <c r="AA12" s="10"/>
      <c r="AB12" s="10"/>
    </row>
    <row r="13" spans="1:30" s="2" customFormat="1">
      <c r="A13" s="10"/>
      <c r="B13" s="10"/>
      <c r="C13" s="10"/>
      <c r="D13" s="10"/>
      <c r="E13" s="10"/>
      <c r="F13" s="10"/>
      <c r="G13" s="10"/>
      <c r="H13" s="10"/>
      <c r="I13" s="10"/>
      <c r="J13" s="10"/>
      <c r="K13" s="10"/>
      <c r="L13" s="10"/>
      <c r="M13" s="17"/>
      <c r="N13" s="18"/>
      <c r="O13" s="18"/>
      <c r="P13" s="19">
        <v>45159</v>
      </c>
      <c r="Q13" s="25">
        <v>9.82</v>
      </c>
      <c r="R13" s="10"/>
      <c r="S13" s="19">
        <f t="shared" si="0"/>
        <v>45159</v>
      </c>
      <c r="T13" s="25">
        <f t="shared" si="2"/>
        <v>9.82</v>
      </c>
      <c r="U13" s="25">
        <f t="shared" si="1"/>
        <v>0</v>
      </c>
      <c r="V13" s="10"/>
      <c r="W13" s="10"/>
      <c r="X13" s="10"/>
      <c r="Y13" s="10"/>
      <c r="Z13" s="10"/>
      <c r="AA13" s="10"/>
      <c r="AB13" s="10"/>
    </row>
    <row r="14" spans="1:30" s="2" customFormat="1">
      <c r="A14" s="10"/>
      <c r="B14" s="10"/>
      <c r="C14" s="10"/>
      <c r="D14" s="10"/>
      <c r="E14" s="10"/>
      <c r="F14" s="10"/>
      <c r="G14" s="10"/>
      <c r="H14" s="10"/>
      <c r="I14" s="10"/>
      <c r="J14" s="10"/>
      <c r="K14" s="10"/>
      <c r="L14" s="10"/>
      <c r="M14" s="17"/>
      <c r="N14" s="18"/>
      <c r="O14" s="18"/>
      <c r="P14" s="19">
        <v>45190</v>
      </c>
      <c r="Q14" s="25">
        <v>9.82</v>
      </c>
      <c r="R14" s="10"/>
      <c r="S14" s="19">
        <f t="shared" si="0"/>
        <v>45190</v>
      </c>
      <c r="T14" s="25">
        <f t="shared" si="2"/>
        <v>9.82</v>
      </c>
      <c r="U14" s="25">
        <f t="shared" si="1"/>
        <v>0</v>
      </c>
      <c r="V14" s="10"/>
      <c r="W14" s="10"/>
      <c r="X14" s="10"/>
      <c r="Y14" s="10"/>
      <c r="Z14" s="10"/>
      <c r="AA14" s="10"/>
      <c r="AB14" s="10"/>
    </row>
    <row r="15" spans="1:30" s="2" customFormat="1">
      <c r="A15" s="10"/>
      <c r="B15" s="10"/>
      <c r="C15" s="10"/>
      <c r="D15" s="10"/>
      <c r="E15" s="10"/>
      <c r="F15" s="10"/>
      <c r="G15" s="10"/>
      <c r="H15" s="10"/>
      <c r="I15" s="10"/>
      <c r="J15" s="10"/>
      <c r="K15" s="10"/>
      <c r="L15" s="10"/>
      <c r="M15" s="17"/>
      <c r="N15" s="18"/>
      <c r="O15" s="18"/>
      <c r="P15" s="19">
        <v>45220</v>
      </c>
      <c r="Q15" s="25">
        <v>9.5</v>
      </c>
      <c r="R15" s="10"/>
      <c r="S15" s="19">
        <f t="shared" si="0"/>
        <v>45220</v>
      </c>
      <c r="T15" s="25">
        <f t="shared" si="2"/>
        <v>9.5</v>
      </c>
      <c r="U15" s="25">
        <f t="shared" si="1"/>
        <v>0</v>
      </c>
      <c r="V15" s="10"/>
      <c r="W15" s="10"/>
      <c r="X15" s="10"/>
      <c r="Y15" s="10"/>
      <c r="Z15" s="10"/>
      <c r="AA15" s="10"/>
      <c r="AB15" s="10"/>
    </row>
    <row r="16" spans="1:30" s="2" customFormat="1">
      <c r="A16" s="10"/>
      <c r="B16" s="10"/>
      <c r="C16" s="10"/>
      <c r="D16" s="10"/>
      <c r="E16" s="10"/>
      <c r="F16" s="10"/>
      <c r="G16" s="10"/>
      <c r="H16" s="10"/>
      <c r="I16" s="10"/>
      <c r="J16" s="10"/>
      <c r="K16" s="10"/>
      <c r="L16" s="10"/>
      <c r="M16" s="17"/>
      <c r="N16" s="18"/>
      <c r="O16" s="18"/>
      <c r="P16" s="19">
        <v>45240</v>
      </c>
      <c r="Q16" s="25">
        <v>6.33</v>
      </c>
      <c r="R16" s="10"/>
      <c r="S16" s="19">
        <f t="shared" si="0"/>
        <v>45240</v>
      </c>
      <c r="T16" s="25">
        <f t="shared" si="2"/>
        <v>6.33</v>
      </c>
      <c r="U16" s="25">
        <f t="shared" si="1"/>
        <v>0</v>
      </c>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126">
      <c r="A26" s="9">
        <v>2</v>
      </c>
      <c r="B26" s="9" t="str">
        <f t="shared" ref="B26:G26" si="3">B4</f>
        <v>成都通宇航空设备制造有限公司</v>
      </c>
      <c r="C26" s="9" t="str">
        <f t="shared" si="3"/>
        <v>成都市双流区行政审批局</v>
      </c>
      <c r="D26" s="9" t="str">
        <f t="shared" si="3"/>
        <v>91510105083320914H</v>
      </c>
      <c r="E26" s="9" t="str">
        <f t="shared" si="3"/>
        <v>有限责任公司（非自然人投资或控股的法人独资）</v>
      </c>
      <c r="F26" s="9" t="str">
        <f t="shared" si="3"/>
        <v>国家税务总局成都市双流区税务局</v>
      </c>
      <c r="G26" s="9" t="str">
        <f t="shared" si="3"/>
        <v>收款账号：755942996010301
开户行：招商银行成都分行金牛区支行</v>
      </c>
      <c r="H26" s="9" t="s">
        <v>818</v>
      </c>
      <c r="I26" s="9" t="s">
        <v>815</v>
      </c>
      <c r="J26" s="9" t="s">
        <v>168</v>
      </c>
      <c r="K26" s="9">
        <v>3000</v>
      </c>
      <c r="L26" s="9" t="s">
        <v>819</v>
      </c>
      <c r="M26" s="20" t="s">
        <v>820</v>
      </c>
      <c r="N26" s="16">
        <v>45257</v>
      </c>
      <c r="O26" s="16">
        <v>45291</v>
      </c>
      <c r="P26" s="9">
        <f>P28-N26</f>
        <v>55</v>
      </c>
      <c r="Q26" s="22">
        <f>SUM(Q27:Q47)</f>
        <v>16.73</v>
      </c>
      <c r="R26" s="9">
        <v>1</v>
      </c>
      <c r="S26" s="9"/>
      <c r="T26" s="9">
        <f>SUM(T27:T47)</f>
        <v>17.190000000000001</v>
      </c>
      <c r="U26" s="23">
        <f>3.55%+0.2%</f>
        <v>3.7499999999999999E-2</v>
      </c>
      <c r="V26" s="16"/>
      <c r="W26" s="9" t="s">
        <v>42</v>
      </c>
      <c r="X26" s="24">
        <v>0.02</v>
      </c>
      <c r="Y26" s="9">
        <f>ROUNDDOWN(IF((O26-N26+1)*K26*X26/365&gt;R26,R26,(O26-N26+1)*K26*X26/365),2)</f>
        <v>1</v>
      </c>
      <c r="Z26" s="9">
        <f>R26-Y26</f>
        <v>0</v>
      </c>
      <c r="AA26" s="9"/>
      <c r="AB26" s="9" t="s">
        <v>61</v>
      </c>
      <c r="AD26" s="1">
        <f>ROUNDDOWN((O26-N26+1)*K26*X26/365,2)</f>
        <v>5.75</v>
      </c>
    </row>
    <row r="27" spans="1:30" s="2" customFormat="1">
      <c r="A27" s="10"/>
      <c r="B27" s="10"/>
      <c r="C27" s="10"/>
      <c r="D27" s="10"/>
      <c r="E27" s="10"/>
      <c r="F27" s="10"/>
      <c r="G27" s="10"/>
      <c r="H27" s="10"/>
      <c r="I27" s="10"/>
      <c r="J27" s="10"/>
      <c r="K27" s="10"/>
      <c r="L27" s="10"/>
      <c r="M27" s="32" t="s">
        <v>562</v>
      </c>
      <c r="N27" s="18"/>
      <c r="O27" s="16">
        <v>45618</v>
      </c>
      <c r="P27" s="19">
        <v>45281</v>
      </c>
      <c r="Q27" s="25">
        <v>7.3</v>
      </c>
      <c r="R27" s="10"/>
      <c r="S27" s="19">
        <f>P27</f>
        <v>45281</v>
      </c>
      <c r="T27" s="25">
        <f>(S27-N26)/360*$U$26*$K$26</f>
        <v>7.5</v>
      </c>
      <c r="U27" s="25">
        <f>T27-Q27</f>
        <v>0.2</v>
      </c>
      <c r="V27" s="18"/>
      <c r="W27" s="10"/>
      <c r="X27" s="10"/>
      <c r="Y27" s="29"/>
      <c r="Z27" s="10"/>
      <c r="AA27" s="10"/>
      <c r="AB27" s="10"/>
    </row>
    <row r="28" spans="1:30" s="2" customFormat="1">
      <c r="A28" s="10"/>
      <c r="B28" s="10"/>
      <c r="C28" s="10"/>
      <c r="D28" s="10"/>
      <c r="E28" s="10"/>
      <c r="F28" s="10"/>
      <c r="G28" s="10"/>
      <c r="H28" s="10"/>
      <c r="I28" s="10"/>
      <c r="J28" s="10"/>
      <c r="K28" s="10"/>
      <c r="L28" s="10"/>
      <c r="M28" s="17"/>
      <c r="N28" s="18"/>
      <c r="O28" s="18"/>
      <c r="P28" s="19">
        <v>45312</v>
      </c>
      <c r="Q28" s="25">
        <v>9.43</v>
      </c>
      <c r="R28" s="10"/>
      <c r="S28" s="19">
        <f>P28</f>
        <v>45312</v>
      </c>
      <c r="T28" s="25">
        <f>(S28-S27)*$U$26*$K$26/360</f>
        <v>9.69</v>
      </c>
      <c r="U28" s="25">
        <f>T28-Q28</f>
        <v>0.26</v>
      </c>
      <c r="V28" s="10"/>
      <c r="W28" s="10"/>
      <c r="X28" s="10"/>
      <c r="Y28" s="29"/>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c r="T30" s="25"/>
      <c r="U30" s="25"/>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c r="T31" s="25"/>
      <c r="U31" s="25"/>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126" hidden="1">
      <c r="A48" s="9">
        <v>3</v>
      </c>
      <c r="B48" s="9" t="str">
        <f t="shared" ref="B48:G48" si="4">B26</f>
        <v>成都通宇航空设备制造有限公司</v>
      </c>
      <c r="C48" s="9" t="str">
        <f t="shared" si="4"/>
        <v>成都市双流区行政审批局</v>
      </c>
      <c r="D48" s="9" t="str">
        <f t="shared" si="4"/>
        <v>91510105083320914H</v>
      </c>
      <c r="E48" s="9" t="str">
        <f t="shared" si="4"/>
        <v>有限责任公司（非自然人投资或控股的法人独资）</v>
      </c>
      <c r="F48" s="9" t="str">
        <f t="shared" si="4"/>
        <v>国家税务总局成都市双流区税务局</v>
      </c>
      <c r="G48" s="9" t="str">
        <f t="shared" si="4"/>
        <v>收款账号：755942996010301
开户行：招商银行成都分行金牛区支行</v>
      </c>
      <c r="H48" s="9" t="s">
        <v>65</v>
      </c>
      <c r="I48" s="9" t="s">
        <v>57</v>
      </c>
      <c r="J48" s="9" t="s">
        <v>66</v>
      </c>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P50</f>
        <v>0</v>
      </c>
      <c r="T50" s="25">
        <f>(S50-S49)*$U$48*$K$48/360</f>
        <v>0</v>
      </c>
      <c r="U50" s="25">
        <f>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126" hidden="1">
      <c r="A70" s="9">
        <v>4</v>
      </c>
      <c r="B70" s="9" t="str">
        <f t="shared" ref="B70:G70" si="5">B48</f>
        <v>成都通宇航空设备制造有限公司</v>
      </c>
      <c r="C70" s="9" t="str">
        <f t="shared" si="5"/>
        <v>成都市双流区行政审批局</v>
      </c>
      <c r="D70" s="9" t="str">
        <f t="shared" si="5"/>
        <v>91510105083320914H</v>
      </c>
      <c r="E70" s="9" t="str">
        <f t="shared" si="5"/>
        <v>有限责任公司（非自然人投资或控股的法人独资）</v>
      </c>
      <c r="F70" s="9" t="str">
        <f t="shared" si="5"/>
        <v>国家税务总局成都市双流区税务局</v>
      </c>
      <c r="G70" s="9" t="str">
        <f t="shared" si="5"/>
        <v>收款账号：755942996010301
开户行：招商银行成都分行金牛区支行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126" hidden="1">
      <c r="A92" s="9">
        <v>5</v>
      </c>
      <c r="B92" s="9" t="str">
        <f t="shared" ref="B92:G92" si="6">B70</f>
        <v>成都通宇航空设备制造有限公司</v>
      </c>
      <c r="C92" s="9" t="str">
        <f t="shared" si="6"/>
        <v>成都市双流区行政审批局</v>
      </c>
      <c r="D92" s="9" t="str">
        <f t="shared" si="6"/>
        <v>91510105083320914H</v>
      </c>
      <c r="E92" s="9" t="str">
        <f t="shared" si="6"/>
        <v>有限责任公司（非自然人投资或控股的法人独资）</v>
      </c>
      <c r="F92" s="9" t="str">
        <f t="shared" si="6"/>
        <v>国家税务总局成都市双流区税务局</v>
      </c>
      <c r="G92" s="9" t="str">
        <f t="shared" si="6"/>
        <v>收款账号：755942996010301
开户行：招商银行成都分行金牛区支行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6000</v>
      </c>
      <c r="L114" s="9"/>
      <c r="M114" s="20"/>
      <c r="N114" s="16"/>
      <c r="O114" s="16"/>
      <c r="P114" s="9"/>
      <c r="Q114" s="22">
        <f>Q26+Q4</f>
        <v>130.12</v>
      </c>
      <c r="R114" s="9">
        <f>R92+R70+R48+R26++R4</f>
        <v>60</v>
      </c>
      <c r="S114" s="9"/>
      <c r="T114" s="9"/>
      <c r="U114" s="9"/>
      <c r="V114" s="9"/>
      <c r="W114" s="9"/>
      <c r="X114" s="9"/>
      <c r="Y114" s="9">
        <f>Y92+Y70+Y48+Y26++Y4</f>
        <v>60</v>
      </c>
      <c r="Z114" s="9"/>
      <c r="AA114" s="9"/>
      <c r="AB114" s="9"/>
    </row>
    <row r="115" spans="1:28">
      <c r="I115" t="s">
        <v>49</v>
      </c>
      <c r="K115" t="str">
        <f>IF(K114&gt;3000,K116,K114)</f>
        <v>错</v>
      </c>
    </row>
    <row r="116" spans="1:28">
      <c r="K116" t="s">
        <v>50</v>
      </c>
    </row>
  </sheetData>
  <autoFilter ref="A3:AD16" xr:uid="{00000000-0009-0000-0000-000049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D116"/>
  <sheetViews>
    <sheetView topLeftCell="H1" zoomScale="69" zoomScaleNormal="69" workbookViewId="0">
      <pane ySplit="3" topLeftCell="A4" activePane="bottomLeft" state="frozen"/>
      <selection pane="bottomLeft" activeCell="W4" sqref="W4"/>
    </sheetView>
  </sheetViews>
  <sheetFormatPr defaultColWidth="9" defaultRowHeight="14"/>
  <cols>
    <col min="7" max="7" width="9" customWidth="1"/>
    <col min="14" max="14" width="10.75" style="4" customWidth="1"/>
    <col min="15" max="15" width="11.0820312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四川斯艾普电子科技有限公司审计明细表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592</v>
      </c>
      <c r="C4" s="9" t="s">
        <v>582</v>
      </c>
      <c r="D4" s="9" t="s">
        <v>821</v>
      </c>
      <c r="E4" s="9" t="s">
        <v>34</v>
      </c>
      <c r="F4" s="9" t="s">
        <v>584</v>
      </c>
      <c r="G4" s="9" t="s">
        <v>822</v>
      </c>
      <c r="H4" s="9" t="s">
        <v>71</v>
      </c>
      <c r="I4" s="9" t="s">
        <v>823</v>
      </c>
      <c r="J4" s="9" t="s">
        <v>73</v>
      </c>
      <c r="K4" s="9">
        <v>1000</v>
      </c>
      <c r="L4" s="9" t="s">
        <v>824</v>
      </c>
      <c r="M4" s="9" t="s">
        <v>825</v>
      </c>
      <c r="N4" s="16">
        <v>45096</v>
      </c>
      <c r="O4" s="16">
        <v>45190</v>
      </c>
      <c r="P4" s="9">
        <f>P12-N4</f>
        <v>195</v>
      </c>
      <c r="Q4" s="22">
        <f>SUM(Q5:Q25)</f>
        <v>16.78</v>
      </c>
      <c r="R4" s="22">
        <v>8.01</v>
      </c>
      <c r="S4" s="9"/>
      <c r="T4" s="22">
        <f>SUM(T5:T25)</f>
        <v>16.78</v>
      </c>
      <c r="U4" s="23">
        <f>3.65%-0.55%</f>
        <v>3.1E-2</v>
      </c>
      <c r="V4" s="16"/>
      <c r="W4" s="9" t="s">
        <v>826</v>
      </c>
      <c r="X4" s="24">
        <f>IFERROR(INDEX(#REF!,MATCH('62'!H4,#REF!)),0)</f>
        <v>0</v>
      </c>
      <c r="Y4" s="9">
        <f>ROUNDDOWN(IF((O4-N4+1)*K4*X4/365&gt;R4,R4,(O4-N4+1)*K4*X4/365),2)</f>
        <v>0</v>
      </c>
      <c r="Z4" s="22">
        <f>R4-Y4</f>
        <v>8.01</v>
      </c>
      <c r="AA4" s="22" t="s">
        <v>108</v>
      </c>
      <c r="AB4" s="9" t="s">
        <v>61</v>
      </c>
      <c r="AD4" s="28">
        <f>(O4-N4+1)*K4*X4/365</f>
        <v>0</v>
      </c>
    </row>
    <row r="5" spans="1:30" s="2" customFormat="1">
      <c r="A5" s="10"/>
      <c r="B5" s="10"/>
      <c r="C5" s="10"/>
      <c r="D5" s="10"/>
      <c r="E5" s="10"/>
      <c r="F5" s="10"/>
      <c r="G5" s="10"/>
      <c r="H5" s="10"/>
      <c r="I5" s="10"/>
      <c r="J5" s="10"/>
      <c r="K5" s="10"/>
      <c r="L5" s="10"/>
      <c r="M5" s="10"/>
      <c r="N5" s="18"/>
      <c r="O5" s="18">
        <v>45461</v>
      </c>
      <c r="P5" s="19">
        <v>45098</v>
      </c>
      <c r="Q5" s="25">
        <v>0.17</v>
      </c>
      <c r="R5" s="10"/>
      <c r="S5" s="19">
        <f>P5</f>
        <v>45098</v>
      </c>
      <c r="T5" s="25">
        <f>(S5-N4)/360*$U$4*$K$4</f>
        <v>0.17</v>
      </c>
      <c r="U5" s="25">
        <f>T5-Q5</f>
        <v>0</v>
      </c>
      <c r="V5" s="18"/>
      <c r="W5" s="18">
        <v>45190</v>
      </c>
      <c r="X5" s="10">
        <v>1000</v>
      </c>
      <c r="Y5" s="10"/>
      <c r="Z5" s="10"/>
      <c r="AA5" s="10"/>
      <c r="AB5" s="10"/>
    </row>
    <row r="6" spans="1:30" s="2" customFormat="1">
      <c r="A6" s="10"/>
      <c r="B6" s="10"/>
      <c r="C6" s="10"/>
      <c r="D6" s="10"/>
      <c r="E6" s="10"/>
      <c r="F6" s="10"/>
      <c r="G6" s="10"/>
      <c r="H6" s="10"/>
      <c r="I6" s="10"/>
      <c r="J6" s="10"/>
      <c r="K6" s="10"/>
      <c r="L6" s="10"/>
      <c r="M6" s="10"/>
      <c r="N6" s="18"/>
      <c r="O6" s="18"/>
      <c r="P6" s="19">
        <v>45128</v>
      </c>
      <c r="Q6" s="25">
        <v>2.58</v>
      </c>
      <c r="R6" s="10"/>
      <c r="S6" s="19">
        <f t="shared" ref="S6:S12" si="0">P6</f>
        <v>45128</v>
      </c>
      <c r="T6" s="25">
        <f>(S6-S5)*$K$4*$U$4/360</f>
        <v>2.58</v>
      </c>
      <c r="U6" s="25">
        <f>T6-Q6</f>
        <v>0</v>
      </c>
      <c r="V6" s="10"/>
      <c r="W6" s="10"/>
      <c r="X6" s="10"/>
      <c r="Y6" s="10"/>
      <c r="Z6" s="10"/>
      <c r="AA6" s="10"/>
      <c r="AB6" s="10"/>
    </row>
    <row r="7" spans="1:30" s="2" customFormat="1">
      <c r="A7" s="10"/>
      <c r="B7" s="10"/>
      <c r="C7" s="10"/>
      <c r="D7" s="10"/>
      <c r="E7" s="10"/>
      <c r="F7" s="10"/>
      <c r="G7" s="10"/>
      <c r="H7" s="10"/>
      <c r="I7" s="10"/>
      <c r="J7" s="10"/>
      <c r="K7" s="10"/>
      <c r="L7" s="10"/>
      <c r="M7" s="10"/>
      <c r="N7" s="18"/>
      <c r="O7" s="18"/>
      <c r="P7" s="19">
        <v>45159</v>
      </c>
      <c r="Q7" s="25">
        <v>2.67</v>
      </c>
      <c r="R7" s="10"/>
      <c r="S7" s="19">
        <f t="shared" si="0"/>
        <v>45159</v>
      </c>
      <c r="T7" s="25">
        <f t="shared" ref="T7:T12" si="1">(S7-S6)*$K$4*$U$4/360</f>
        <v>2.67</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0"/>
      <c r="N8" s="18"/>
      <c r="O8" s="18"/>
      <c r="P8" s="19">
        <v>45190</v>
      </c>
      <c r="Q8" s="25">
        <v>2.67</v>
      </c>
      <c r="R8" s="10"/>
      <c r="S8" s="19">
        <f t="shared" si="0"/>
        <v>45190</v>
      </c>
      <c r="T8" s="25">
        <f t="shared" si="1"/>
        <v>2.67</v>
      </c>
      <c r="U8" s="25">
        <f t="shared" si="2"/>
        <v>0</v>
      </c>
      <c r="V8" s="10"/>
      <c r="W8" s="10"/>
      <c r="X8" s="10"/>
      <c r="Y8" s="10"/>
      <c r="Z8" s="10"/>
      <c r="AA8" s="10"/>
      <c r="AB8" s="10"/>
    </row>
    <row r="9" spans="1:30" s="2" customFormat="1">
      <c r="A9" s="10"/>
      <c r="B9" s="10"/>
      <c r="C9" s="10"/>
      <c r="D9" s="10"/>
      <c r="E9" s="10"/>
      <c r="F9" s="10"/>
      <c r="G9" s="10"/>
      <c r="H9" s="10"/>
      <c r="I9" s="10"/>
      <c r="J9" s="10"/>
      <c r="K9" s="10"/>
      <c r="L9" s="10"/>
      <c r="M9" s="10"/>
      <c r="N9" s="18"/>
      <c r="O9" s="18"/>
      <c r="P9" s="19">
        <v>45220</v>
      </c>
      <c r="Q9" s="25">
        <v>2.58</v>
      </c>
      <c r="R9" s="10"/>
      <c r="S9" s="19">
        <f t="shared" si="0"/>
        <v>45220</v>
      </c>
      <c r="T9" s="25">
        <f t="shared" si="1"/>
        <v>2.58</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0"/>
      <c r="N10" s="18"/>
      <c r="O10" s="18"/>
      <c r="P10" s="19">
        <v>45251</v>
      </c>
      <c r="Q10" s="25">
        <v>2.67</v>
      </c>
      <c r="R10" s="10"/>
      <c r="S10" s="19">
        <f t="shared" si="0"/>
        <v>45251</v>
      </c>
      <c r="T10" s="25">
        <f t="shared" si="1"/>
        <v>2.67</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0"/>
      <c r="N11" s="18"/>
      <c r="O11" s="18"/>
      <c r="P11" s="19">
        <v>45281</v>
      </c>
      <c r="Q11" s="25">
        <v>2.58</v>
      </c>
      <c r="R11" s="10"/>
      <c r="S11" s="19">
        <f t="shared" si="0"/>
        <v>45281</v>
      </c>
      <c r="T11" s="25">
        <f t="shared" si="1"/>
        <v>2.58</v>
      </c>
      <c r="U11" s="25">
        <f t="shared" si="2"/>
        <v>0</v>
      </c>
      <c r="V11" s="10"/>
      <c r="W11" s="10"/>
      <c r="X11" s="10"/>
      <c r="Y11" s="10"/>
      <c r="Z11" s="10"/>
      <c r="AA11" s="10"/>
      <c r="AB11" s="10"/>
    </row>
    <row r="12" spans="1:30" s="2" customFormat="1" ht="42">
      <c r="A12" s="10"/>
      <c r="B12" s="10"/>
      <c r="C12" s="10"/>
      <c r="D12" s="10"/>
      <c r="E12" s="10"/>
      <c r="F12" s="10"/>
      <c r="G12" s="10"/>
      <c r="H12" s="10"/>
      <c r="I12" s="10"/>
      <c r="J12" s="10"/>
      <c r="K12" s="10"/>
      <c r="L12" s="10"/>
      <c r="M12" s="10"/>
      <c r="N12" s="18"/>
      <c r="O12" s="115" t="s">
        <v>827</v>
      </c>
      <c r="P12" s="112">
        <v>45291</v>
      </c>
      <c r="Q12" s="117">
        <v>0.86</v>
      </c>
      <c r="R12" s="10"/>
      <c r="S12" s="19">
        <f t="shared" si="0"/>
        <v>45291</v>
      </c>
      <c r="T12" s="25">
        <f t="shared" si="1"/>
        <v>0.86</v>
      </c>
      <c r="U12" s="25">
        <f t="shared" si="2"/>
        <v>0</v>
      </c>
      <c r="V12" s="10"/>
      <c r="W12" s="10"/>
      <c r="X12" s="10"/>
      <c r="Y12" s="10"/>
      <c r="Z12" s="10"/>
      <c r="AA12" s="10"/>
      <c r="AB12" s="10"/>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98">
      <c r="A26" s="9">
        <v>2</v>
      </c>
      <c r="B26" s="9" t="s">
        <v>592</v>
      </c>
      <c r="C26" s="9" t="s">
        <v>582</v>
      </c>
      <c r="D26" s="9" t="s">
        <v>821</v>
      </c>
      <c r="E26" s="9" t="s">
        <v>34</v>
      </c>
      <c r="F26" s="9" t="s">
        <v>584</v>
      </c>
      <c r="G26" s="9" t="s">
        <v>828</v>
      </c>
      <c r="H26" s="9" t="s">
        <v>71</v>
      </c>
      <c r="I26" s="9" t="s">
        <v>829</v>
      </c>
      <c r="J26" s="9" t="s">
        <v>73</v>
      </c>
      <c r="K26" s="9">
        <v>1000</v>
      </c>
      <c r="L26" s="9" t="s">
        <v>830</v>
      </c>
      <c r="M26" s="9" t="s">
        <v>830</v>
      </c>
      <c r="N26" s="16">
        <v>45232</v>
      </c>
      <c r="O26" s="16">
        <v>45291</v>
      </c>
      <c r="P26" s="9">
        <f>P28-N26</f>
        <v>59</v>
      </c>
      <c r="Q26" s="22">
        <f>SUM(Q27:Q47)</f>
        <v>5.08</v>
      </c>
      <c r="R26" s="9">
        <v>2.42</v>
      </c>
      <c r="S26" s="9"/>
      <c r="T26" s="22">
        <f>SUM(T27:T47)</f>
        <v>5.08</v>
      </c>
      <c r="U26" s="23">
        <v>3.1E-2</v>
      </c>
      <c r="V26" s="16"/>
      <c r="W26" s="9" t="s">
        <v>42</v>
      </c>
      <c r="X26" s="24">
        <v>1.4999999999999999E-2</v>
      </c>
      <c r="Y26" s="9">
        <f>ROUNDDOWN(IF((O26-N26+1)*K26*X26/365&gt;R26,R26,(O26-N26+1)*K26*X26/365),2)</f>
        <v>2.42</v>
      </c>
      <c r="Z26" s="9">
        <f>R26-Y26</f>
        <v>0</v>
      </c>
      <c r="AA26" s="9"/>
      <c r="AB26" s="9" t="s">
        <v>831</v>
      </c>
      <c r="AD26" s="1">
        <f>(O26-N26+1)*K26*X26/365</f>
        <v>2.4657534246575299</v>
      </c>
    </row>
    <row r="27" spans="1:30" s="2" customFormat="1">
      <c r="A27" s="10"/>
      <c r="B27" s="10"/>
      <c r="C27" s="10"/>
      <c r="D27" s="10"/>
      <c r="E27" s="10"/>
      <c r="F27" s="10"/>
      <c r="G27" s="10"/>
      <c r="H27" s="10"/>
      <c r="I27" s="10"/>
      <c r="J27" s="10"/>
      <c r="K27" s="10"/>
      <c r="L27" s="10"/>
      <c r="M27" s="10"/>
      <c r="N27" s="18"/>
      <c r="O27" s="16">
        <v>45598</v>
      </c>
      <c r="P27" s="19">
        <v>45281</v>
      </c>
      <c r="Q27" s="25">
        <v>4.22</v>
      </c>
      <c r="R27" s="10"/>
      <c r="S27" s="19">
        <f>P27</f>
        <v>45281</v>
      </c>
      <c r="T27" s="25">
        <f>(S27-N26)/360*$U$26*$K$26</f>
        <v>4.22</v>
      </c>
      <c r="U27" s="25">
        <f>T27-Q27</f>
        <v>0</v>
      </c>
      <c r="V27" s="18"/>
      <c r="W27" s="10"/>
      <c r="X27" s="10"/>
      <c r="Y27" s="29"/>
      <c r="Z27" s="10"/>
      <c r="AA27" s="10"/>
      <c r="AB27" s="10"/>
    </row>
    <row r="28" spans="1:30" s="2" customFormat="1" ht="42">
      <c r="A28" s="10"/>
      <c r="B28" s="10"/>
      <c r="C28" s="10"/>
      <c r="D28" s="10"/>
      <c r="E28" s="10"/>
      <c r="F28" s="10"/>
      <c r="G28" s="10"/>
      <c r="H28" s="10"/>
      <c r="I28" s="10"/>
      <c r="J28" s="10"/>
      <c r="K28" s="10"/>
      <c r="L28" s="10"/>
      <c r="M28" s="10"/>
      <c r="N28" s="18"/>
      <c r="O28" s="115" t="s">
        <v>827</v>
      </c>
      <c r="P28" s="112">
        <v>45291</v>
      </c>
      <c r="Q28" s="117">
        <v>0.86</v>
      </c>
      <c r="R28" s="10"/>
      <c r="S28" s="19">
        <f t="shared" ref="S28" si="3">P28</f>
        <v>45291</v>
      </c>
      <c r="T28" s="25">
        <f>(S28-S27)*$U$26*$K$26/360</f>
        <v>0.86</v>
      </c>
      <c r="U28" s="25">
        <f t="shared" ref="U28:U32" si="4">T28-Q28</f>
        <v>0</v>
      </c>
      <c r="V28" s="10"/>
      <c r="W28" s="10"/>
      <c r="X28" s="10"/>
      <c r="Y28" s="29"/>
      <c r="Z28" s="10"/>
      <c r="AA28" s="10"/>
      <c r="AB28" s="10"/>
    </row>
    <row r="29" spans="1:30" s="2" customFormat="1" ht="15" hidden="1" customHeight="1">
      <c r="A29" s="10"/>
      <c r="B29" s="10"/>
      <c r="C29" s="10"/>
      <c r="D29" s="10"/>
      <c r="E29" s="10"/>
      <c r="F29" s="10"/>
      <c r="G29" s="10"/>
      <c r="H29" s="10"/>
      <c r="I29" s="10"/>
      <c r="J29" s="10"/>
      <c r="K29" s="10"/>
      <c r="L29" s="10"/>
      <c r="M29" s="10"/>
      <c r="N29" s="18"/>
      <c r="O29" s="18"/>
      <c r="P29" s="19"/>
      <c r="Q29" s="25"/>
      <c r="R29" s="10"/>
      <c r="S29" s="19"/>
      <c r="T29" s="25"/>
      <c r="U29" s="25"/>
      <c r="V29" s="10"/>
      <c r="W29" s="10"/>
      <c r="X29" s="10"/>
      <c r="Y29" s="10"/>
      <c r="Z29" s="10"/>
      <c r="AA29" s="10"/>
      <c r="AB29" s="10"/>
    </row>
    <row r="30" spans="1:30" s="2" customFormat="1" hidden="1">
      <c r="A30" s="10"/>
      <c r="B30" s="10"/>
      <c r="C30" s="10"/>
      <c r="D30" s="10"/>
      <c r="E30" s="10"/>
      <c r="F30" s="10"/>
      <c r="G30" s="10"/>
      <c r="H30" s="10"/>
      <c r="I30" s="10"/>
      <c r="J30" s="10"/>
      <c r="K30" s="10"/>
      <c r="L30" s="10"/>
      <c r="M30" s="10"/>
      <c r="N30" s="18"/>
      <c r="O30" s="18"/>
      <c r="P30" s="19"/>
      <c r="Q30" s="25"/>
      <c r="R30" s="10"/>
      <c r="S30" s="19"/>
      <c r="T30" s="25">
        <f t="shared" ref="T30:T32" si="5">(S30-S29)*$U$26*$K$26/360</f>
        <v>0</v>
      </c>
      <c r="U30" s="25">
        <f t="shared" si="4"/>
        <v>0</v>
      </c>
      <c r="V30" s="10"/>
      <c r="W30" s="10"/>
      <c r="X30" s="10"/>
      <c r="Y30" s="10"/>
      <c r="Z30" s="10"/>
      <c r="AA30" s="10"/>
      <c r="AB30" s="10"/>
    </row>
    <row r="31" spans="1:30" s="2" customFormat="1" hidden="1">
      <c r="A31" s="10"/>
      <c r="B31" s="10"/>
      <c r="C31" s="10"/>
      <c r="D31" s="10"/>
      <c r="E31" s="10"/>
      <c r="F31" s="10"/>
      <c r="G31" s="10"/>
      <c r="H31" s="10"/>
      <c r="I31" s="10"/>
      <c r="J31" s="10"/>
      <c r="K31" s="10"/>
      <c r="L31" s="10"/>
      <c r="M31" s="10"/>
      <c r="N31" s="18"/>
      <c r="O31" s="18"/>
      <c r="P31" s="19"/>
      <c r="Q31" s="25"/>
      <c r="R31" s="10"/>
      <c r="S31" s="19"/>
      <c r="T31" s="25">
        <f t="shared" si="5"/>
        <v>0</v>
      </c>
      <c r="U31" s="25">
        <f t="shared" si="4"/>
        <v>0</v>
      </c>
      <c r="V31" s="10"/>
      <c r="W31" s="10"/>
      <c r="X31" s="10"/>
      <c r="Y31" s="10"/>
      <c r="Z31" s="10"/>
      <c r="AA31" s="10"/>
      <c r="AB31" s="10"/>
    </row>
    <row r="32" spans="1:30" s="2" customFormat="1" hidden="1">
      <c r="A32" s="10"/>
      <c r="B32" s="10"/>
      <c r="C32" s="10"/>
      <c r="D32" s="10"/>
      <c r="E32" s="10"/>
      <c r="F32" s="10"/>
      <c r="G32" s="10"/>
      <c r="H32" s="10"/>
      <c r="I32" s="10"/>
      <c r="J32" s="10"/>
      <c r="K32" s="10"/>
      <c r="L32" s="10"/>
      <c r="M32" s="10"/>
      <c r="N32" s="18"/>
      <c r="O32" s="18"/>
      <c r="P32" s="19"/>
      <c r="Q32" s="25"/>
      <c r="R32" s="10"/>
      <c r="S32" s="19"/>
      <c r="T32" s="25">
        <f t="shared" si="5"/>
        <v>0</v>
      </c>
      <c r="U32" s="25">
        <f t="shared" si="4"/>
        <v>0</v>
      </c>
      <c r="V32" s="10"/>
      <c r="W32" s="10"/>
      <c r="X32" s="10"/>
      <c r="Y32" s="10"/>
      <c r="Z32" s="10"/>
      <c r="AA32" s="10"/>
      <c r="AB32" s="10"/>
    </row>
    <row r="33" spans="1:28" s="2" customFormat="1" hidden="1">
      <c r="A33" s="10"/>
      <c r="B33" s="10"/>
      <c r="C33" s="10"/>
      <c r="D33" s="10"/>
      <c r="E33" s="10"/>
      <c r="F33" s="10"/>
      <c r="G33" s="10"/>
      <c r="H33" s="10"/>
      <c r="I33" s="10"/>
      <c r="J33" s="10"/>
      <c r="K33" s="10"/>
      <c r="L33" s="10"/>
      <c r="M33" s="10"/>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0"/>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row>
    <row r="48" spans="1:28" s="1" customFormat="1" ht="84" hidden="1">
      <c r="A48" s="9">
        <v>3</v>
      </c>
      <c r="B48" s="9" t="str">
        <f>B26</f>
        <v>四川斯艾普电子科技有限公司</v>
      </c>
      <c r="C48" s="9" t="str">
        <f t="shared" ref="C48:G48" si="6">C26</f>
        <v>成都市成华区行政审批局</v>
      </c>
      <c r="D48" s="9" t="str">
        <f t="shared" si="6"/>
        <v>91510108091280721T</v>
      </c>
      <c r="E48" s="9" t="str">
        <f t="shared" si="6"/>
        <v>私营企业</v>
      </c>
      <c r="F48" s="9" t="str">
        <f t="shared" si="6"/>
        <v>成都市成华区税务局</v>
      </c>
      <c r="G48" s="9" t="str">
        <f t="shared" si="6"/>
        <v>129328165210(中国银行股份有限公司成都成华支行)</v>
      </c>
      <c r="H48" s="9" t="s">
        <v>65</v>
      </c>
      <c r="I48" s="9" t="s">
        <v>57</v>
      </c>
      <c r="J48" s="9" t="s">
        <v>66</v>
      </c>
      <c r="K48" s="9"/>
      <c r="L48" s="9"/>
      <c r="M48" s="9"/>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0"/>
      <c r="N50" s="18"/>
      <c r="O50" s="18"/>
      <c r="P50" s="19"/>
      <c r="Q50" s="25"/>
      <c r="R50" s="10"/>
      <c r="S50" s="19">
        <f t="shared" ref="S50" si="7">P50</f>
        <v>0</v>
      </c>
      <c r="T50" s="25">
        <f>(S50-S49)*$U$48*$K$48/360</f>
        <v>0</v>
      </c>
      <c r="U50" s="25">
        <f t="shared" ref="U50" si="8">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84" hidden="1">
      <c r="A70" s="9">
        <v>4</v>
      </c>
      <c r="B70" s="9" t="str">
        <f>B48</f>
        <v>四川斯艾普电子科技有限公司</v>
      </c>
      <c r="C70" s="9" t="str">
        <f t="shared" ref="C70:G70" si="9">C48</f>
        <v>成都市成华区行政审批局</v>
      </c>
      <c r="D70" s="9" t="str">
        <f t="shared" si="9"/>
        <v>91510108091280721T</v>
      </c>
      <c r="E70" s="9" t="str">
        <f t="shared" si="9"/>
        <v>私营企业</v>
      </c>
      <c r="F70" s="9" t="str">
        <f t="shared" si="9"/>
        <v>成都市成华区税务局</v>
      </c>
      <c r="G70" s="9" t="str">
        <f t="shared" si="9"/>
        <v>129328165210(中国银行股份有限公司成都成华支行)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84" hidden="1">
      <c r="A92" s="9">
        <v>5</v>
      </c>
      <c r="B92" s="9" t="str">
        <f>B70</f>
        <v>四川斯艾普电子科技有限公司</v>
      </c>
      <c r="C92" s="9" t="str">
        <f t="shared" ref="C92:G92" si="10">C70</f>
        <v>成都市成华区行政审批局</v>
      </c>
      <c r="D92" s="9" t="str">
        <f t="shared" si="10"/>
        <v>91510108091280721T</v>
      </c>
      <c r="E92" s="9" t="str">
        <f t="shared" si="10"/>
        <v>私营企业</v>
      </c>
      <c r="F92" s="9" t="str">
        <f t="shared" si="10"/>
        <v>成都市成华区税务局</v>
      </c>
      <c r="G92" s="9" t="str">
        <f t="shared" si="10"/>
        <v>129328165210(中国银行股份有限公司成都成华支行)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2000</v>
      </c>
      <c r="L114" s="9"/>
      <c r="M114" s="9"/>
      <c r="N114" s="16"/>
      <c r="O114" s="16"/>
      <c r="P114" s="9"/>
      <c r="Q114" s="9"/>
      <c r="R114" s="22">
        <f>R92+R70+R48+R26++R4</f>
        <v>10.43</v>
      </c>
      <c r="S114" s="9"/>
      <c r="T114" s="9"/>
      <c r="U114" s="9"/>
      <c r="V114" s="9"/>
      <c r="W114" s="9"/>
      <c r="X114" s="9"/>
      <c r="Y114" s="9">
        <f>Y92+Y70+Y48+Y26++Y4</f>
        <v>2.42</v>
      </c>
      <c r="Z114" s="9"/>
      <c r="AA114" s="9"/>
      <c r="AB114" s="9"/>
    </row>
    <row r="115" spans="1:28">
      <c r="I115" t="s">
        <v>49</v>
      </c>
      <c r="K115">
        <f>IF(K114&gt;3000,K116,K114)</f>
        <v>2000</v>
      </c>
    </row>
    <row r="116" spans="1:28">
      <c r="K116" t="s">
        <v>50</v>
      </c>
    </row>
  </sheetData>
  <autoFilter ref="A3:AD12" xr:uid="{00000000-0009-0000-0000-00004A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filterMode="1"/>
  <dimension ref="A1:AD117"/>
  <sheetViews>
    <sheetView topLeftCell="H1" zoomScale="70" zoomScaleNormal="70" workbookViewId="0">
      <pane ySplit="3" topLeftCell="A30" activePane="bottomLeft" state="frozen"/>
      <selection pane="bottomLeft" activeCell="N48" sqref="N48:AB48"/>
    </sheetView>
  </sheetViews>
  <sheetFormatPr defaultColWidth="9" defaultRowHeight="14"/>
  <cols>
    <col min="7" max="7" width="9" customWidth="1"/>
    <col min="14" max="14" width="10.75" style="4" customWidth="1"/>
    <col min="15" max="15" width="11.08203125" style="4" customWidth="1"/>
    <col min="16" max="16" width="9.83203125" customWidth="1"/>
    <col min="19" max="19" width="9.83203125" customWidth="1"/>
    <col min="22" max="22" width="11.5" customWidth="1"/>
    <col min="29" max="29" width="9" hidden="1" customWidth="1"/>
    <col min="30" max="30" width="12.08203125" customWidth="1"/>
  </cols>
  <sheetData>
    <row r="1" spans="1:30" ht="25">
      <c r="B1" s="154" t="str">
        <f>B4&amp;AC1</f>
        <v>成都宏明电子股份有限公司审计明细表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832</v>
      </c>
      <c r="T3" s="21" t="s">
        <v>23</v>
      </c>
      <c r="U3" s="7" t="s">
        <v>24</v>
      </c>
      <c r="V3" s="7" t="s">
        <v>25</v>
      </c>
      <c r="W3" s="7" t="s">
        <v>26</v>
      </c>
      <c r="X3" s="7" t="s">
        <v>27</v>
      </c>
      <c r="Y3" s="26" t="s">
        <v>28</v>
      </c>
      <c r="Z3" s="7" t="s">
        <v>29</v>
      </c>
      <c r="AA3" s="7" t="s">
        <v>30</v>
      </c>
      <c r="AB3" s="156"/>
      <c r="AC3" s="27"/>
    </row>
    <row r="4" spans="1:30" s="1" customFormat="1" ht="98">
      <c r="A4" s="9">
        <v>1</v>
      </c>
      <c r="B4" s="9" t="s">
        <v>619</v>
      </c>
      <c r="C4" s="9" t="s">
        <v>52</v>
      </c>
      <c r="D4" s="9" t="s">
        <v>833</v>
      </c>
      <c r="E4" s="9" t="s">
        <v>54</v>
      </c>
      <c r="F4" s="9" t="s">
        <v>584</v>
      </c>
      <c r="G4" s="9" t="s">
        <v>834</v>
      </c>
      <c r="H4" s="9" t="s">
        <v>156</v>
      </c>
      <c r="I4" s="9" t="s">
        <v>835</v>
      </c>
      <c r="J4" s="9" t="s">
        <v>73</v>
      </c>
      <c r="K4" s="9">
        <v>3000</v>
      </c>
      <c r="L4" s="9" t="s">
        <v>836</v>
      </c>
      <c r="M4" s="9" t="s">
        <v>837</v>
      </c>
      <c r="N4" s="16">
        <v>44853</v>
      </c>
      <c r="O4" s="16">
        <v>44926</v>
      </c>
      <c r="P4" s="9">
        <f>P6-N4</f>
        <v>63</v>
      </c>
      <c r="Q4" s="22">
        <f>SUM(Q5:Q25)</f>
        <v>16.54</v>
      </c>
      <c r="R4" s="22">
        <v>12.16</v>
      </c>
      <c r="S4" s="9"/>
      <c r="T4" s="22">
        <f>SUM(T5:T25)</f>
        <v>16.54</v>
      </c>
      <c r="U4" s="23">
        <v>3.15E-2</v>
      </c>
      <c r="V4" s="16"/>
      <c r="W4" s="9" t="s">
        <v>42</v>
      </c>
      <c r="X4" s="24">
        <v>0.02</v>
      </c>
      <c r="Y4" s="9">
        <f>ROUNDDOWN(IF((O4-N4+1)*K4*X4/365&gt;R4,R4,(O4-N4+1)*K4*X4/365),2)</f>
        <v>12.16</v>
      </c>
      <c r="Z4" s="22">
        <f>R4-Y4</f>
        <v>0</v>
      </c>
      <c r="AA4" s="22"/>
      <c r="AB4" s="124" t="s">
        <v>838</v>
      </c>
      <c r="AD4" s="1">
        <f>(O4-N4+1)*K4*X4/365</f>
        <v>12.164383561643801</v>
      </c>
    </row>
    <row r="5" spans="1:30" s="2" customFormat="1" hidden="1">
      <c r="A5" s="10"/>
      <c r="B5" s="10"/>
      <c r="C5" s="10"/>
      <c r="D5" s="10"/>
      <c r="E5" s="10"/>
      <c r="F5" s="10"/>
      <c r="G5" s="10"/>
      <c r="H5" s="10"/>
      <c r="I5" s="10"/>
      <c r="J5" s="10"/>
      <c r="K5" s="10"/>
      <c r="L5" s="10"/>
      <c r="M5" s="30"/>
      <c r="N5" s="18"/>
      <c r="O5" s="123">
        <v>45217</v>
      </c>
      <c r="P5" s="19">
        <v>44886</v>
      </c>
      <c r="Q5" s="25">
        <v>8.66</v>
      </c>
      <c r="R5" s="10"/>
      <c r="S5" s="19">
        <f>P5</f>
        <v>44886</v>
      </c>
      <c r="T5" s="25">
        <f>(S5-N4)/360*$U$4*$K$4</f>
        <v>8.66</v>
      </c>
      <c r="U5" s="25">
        <f>T5-Q5</f>
        <v>0</v>
      </c>
      <c r="V5" s="18"/>
      <c r="W5" s="10"/>
      <c r="X5" s="10"/>
      <c r="Y5" s="10"/>
      <c r="Z5" s="10"/>
      <c r="AA5" s="10"/>
      <c r="AB5" s="10"/>
    </row>
    <row r="6" spans="1:30" s="2" customFormat="1" hidden="1">
      <c r="A6" s="10"/>
      <c r="B6" s="10"/>
      <c r="C6" s="10"/>
      <c r="D6" s="10"/>
      <c r="E6" s="10"/>
      <c r="F6" s="10"/>
      <c r="G6" s="10"/>
      <c r="H6" s="10"/>
      <c r="I6" s="10"/>
      <c r="J6" s="10"/>
      <c r="K6" s="10"/>
      <c r="L6" s="10"/>
      <c r="M6" s="10"/>
      <c r="N6" s="18"/>
      <c r="O6" s="18"/>
      <c r="P6" s="19">
        <v>44916</v>
      </c>
      <c r="Q6" s="25">
        <v>7.88</v>
      </c>
      <c r="R6" s="10"/>
      <c r="S6" s="19">
        <f>P6</f>
        <v>44916</v>
      </c>
      <c r="T6" s="25">
        <f>(S6-S5)*$K$4*$U$4/360</f>
        <v>7.88</v>
      </c>
      <c r="U6" s="25">
        <f>T6-Q6</f>
        <v>0</v>
      </c>
      <c r="V6" s="10"/>
      <c r="W6" s="10"/>
      <c r="X6" s="10"/>
      <c r="Y6" s="10"/>
      <c r="Z6" s="10"/>
      <c r="AA6" s="10"/>
      <c r="AB6" s="10"/>
    </row>
    <row r="7" spans="1:30" s="2" customFormat="1" hidden="1">
      <c r="A7" s="10"/>
      <c r="B7" s="10"/>
      <c r="C7" s="10"/>
      <c r="D7" s="10"/>
      <c r="E7" s="10"/>
      <c r="F7" s="10"/>
      <c r="G7" s="10"/>
      <c r="H7" s="10"/>
      <c r="I7" s="10"/>
      <c r="J7" s="10"/>
      <c r="K7" s="10"/>
      <c r="L7" s="10"/>
      <c r="M7" s="10"/>
      <c r="N7" s="18"/>
      <c r="O7" s="18"/>
      <c r="P7" s="19"/>
      <c r="Q7" s="25"/>
      <c r="R7" s="10"/>
      <c r="S7" s="19"/>
      <c r="T7" s="25"/>
      <c r="U7" s="25"/>
      <c r="V7" s="10"/>
      <c r="W7" s="10"/>
      <c r="X7" s="10"/>
      <c r="Y7" s="10"/>
      <c r="Z7" s="10"/>
      <c r="AA7" s="10"/>
      <c r="AB7" s="10"/>
    </row>
    <row r="8" spans="1:30" s="2" customFormat="1" hidden="1">
      <c r="A8" s="10"/>
      <c r="B8" s="10"/>
      <c r="C8" s="10"/>
      <c r="D8" s="10"/>
      <c r="E8" s="10"/>
      <c r="F8" s="10"/>
      <c r="G8" s="10"/>
      <c r="H8" s="10"/>
      <c r="I8" s="10"/>
      <c r="J8" s="10"/>
      <c r="K8" s="10"/>
      <c r="L8" s="10"/>
      <c r="M8" s="10"/>
      <c r="N8" s="18"/>
      <c r="O8" s="18"/>
      <c r="P8" s="19"/>
      <c r="Q8" s="25"/>
      <c r="R8" s="10"/>
      <c r="S8" s="19"/>
      <c r="T8" s="25"/>
      <c r="U8" s="25"/>
      <c r="V8" s="10"/>
      <c r="W8" s="10"/>
      <c r="X8" s="10"/>
      <c r="Y8" s="10"/>
      <c r="Z8" s="10"/>
      <c r="AA8" s="10"/>
      <c r="AB8" s="10"/>
    </row>
    <row r="9" spans="1:30" s="2" customFormat="1" hidden="1">
      <c r="A9" s="10"/>
      <c r="B9" s="10"/>
      <c r="C9" s="10"/>
      <c r="D9" s="10"/>
      <c r="E9" s="10"/>
      <c r="F9" s="10"/>
      <c r="G9" s="10"/>
      <c r="H9" s="10"/>
      <c r="I9" s="10"/>
      <c r="J9" s="10"/>
      <c r="K9" s="10"/>
      <c r="L9" s="10"/>
      <c r="M9" s="10"/>
      <c r="N9" s="18"/>
      <c r="O9" s="18"/>
      <c r="P9" s="19"/>
      <c r="Q9" s="25"/>
      <c r="R9" s="10"/>
      <c r="S9" s="19"/>
      <c r="T9" s="25"/>
      <c r="U9" s="25"/>
      <c r="V9" s="10"/>
      <c r="W9" s="10"/>
      <c r="X9" s="10"/>
      <c r="Y9" s="10"/>
      <c r="Z9" s="10"/>
      <c r="AA9" s="10"/>
      <c r="AB9" s="10"/>
    </row>
    <row r="10" spans="1:30" s="2" customFormat="1" hidden="1">
      <c r="A10" s="10"/>
      <c r="B10" s="10"/>
      <c r="C10" s="10"/>
      <c r="D10" s="10"/>
      <c r="E10" s="10"/>
      <c r="F10" s="10"/>
      <c r="G10" s="10"/>
      <c r="H10" s="10"/>
      <c r="I10" s="10"/>
      <c r="J10" s="10"/>
      <c r="K10" s="10"/>
      <c r="L10" s="10"/>
      <c r="M10" s="10"/>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0"/>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0"/>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98">
      <c r="A26" s="9">
        <v>2</v>
      </c>
      <c r="B26" s="9" t="str">
        <f>B4</f>
        <v>成都宏明电子股份有限公司</v>
      </c>
      <c r="C26" s="9" t="str">
        <f t="shared" ref="C26:G26" si="0">C4</f>
        <v>成都市市场监督管理局</v>
      </c>
      <c r="D26" s="9" t="str">
        <f t="shared" si="0"/>
        <v>915101002019334483</v>
      </c>
      <c r="E26" s="9" t="str">
        <f t="shared" si="0"/>
        <v>股份有限公司</v>
      </c>
      <c r="F26" s="9" t="str">
        <f t="shared" si="0"/>
        <v>成都市成华区税务局</v>
      </c>
      <c r="G26" s="9" t="str">
        <f t="shared" si="0"/>
        <v>4402211009004001710(中国工商银行股份有限公司成都沙河支行)</v>
      </c>
      <c r="H26" s="9" t="s">
        <v>156</v>
      </c>
      <c r="I26" s="9" t="s">
        <v>835</v>
      </c>
      <c r="J26" s="9" t="s">
        <v>73</v>
      </c>
      <c r="K26" s="9">
        <v>3000</v>
      </c>
      <c r="L26" s="9" t="s">
        <v>836</v>
      </c>
      <c r="M26" s="9" t="s">
        <v>837</v>
      </c>
      <c r="N26" s="16">
        <v>44927</v>
      </c>
      <c r="O26" s="16">
        <v>45217</v>
      </c>
      <c r="P26" s="9">
        <f>P36-N26</f>
        <v>290</v>
      </c>
      <c r="Q26" s="22">
        <f>SUM(Q27:Q47)</f>
        <v>79.040000000000006</v>
      </c>
      <c r="R26" s="9">
        <v>47.84</v>
      </c>
      <c r="S26" s="9"/>
      <c r="T26" s="22">
        <f>SUM(T27:T36)</f>
        <v>76.150000000000006</v>
      </c>
      <c r="U26" s="23">
        <v>3.15E-2</v>
      </c>
      <c r="V26" s="16"/>
      <c r="W26" s="9" t="s">
        <v>42</v>
      </c>
      <c r="X26" s="24">
        <v>0.02</v>
      </c>
      <c r="Y26" s="9">
        <f>ROUNDDOWN(IF((O26-N26+1)*K26*X26/365&gt;R26,R26,(O26-N26+1)*K26*X26/365),2)</f>
        <v>47.83</v>
      </c>
      <c r="Z26" s="9">
        <f>R26-Y26</f>
        <v>1.00000000000051E-2</v>
      </c>
      <c r="AA26" s="9" t="s">
        <v>43</v>
      </c>
      <c r="AB26" s="124" t="s">
        <v>838</v>
      </c>
      <c r="AD26" s="1">
        <f>(O26-N26+1)*K26*X26/365</f>
        <v>47.835616438356197</v>
      </c>
    </row>
    <row r="27" spans="1:30" s="2" customFormat="1">
      <c r="A27" s="10"/>
      <c r="B27" s="10"/>
      <c r="C27" s="10"/>
      <c r="D27" s="10"/>
      <c r="E27" s="10"/>
      <c r="F27" s="10"/>
      <c r="G27" s="10"/>
      <c r="H27" s="10"/>
      <c r="I27" s="10"/>
      <c r="J27" s="10"/>
      <c r="K27" s="10"/>
      <c r="L27" s="10"/>
      <c r="M27" s="10"/>
      <c r="N27" s="123">
        <v>44853</v>
      </c>
      <c r="O27" s="18"/>
      <c r="P27" s="19">
        <v>44947</v>
      </c>
      <c r="Q27" s="25">
        <v>8.14</v>
      </c>
      <c r="R27" s="10"/>
      <c r="S27" s="19">
        <f>P27</f>
        <v>44947</v>
      </c>
      <c r="T27" s="25">
        <f>(S27-N26)*$K$26*$U$26/360</f>
        <v>5.25</v>
      </c>
      <c r="U27" s="25">
        <f>T27-Q27</f>
        <v>-2.89</v>
      </c>
      <c r="V27" s="18"/>
      <c r="W27" s="10"/>
      <c r="X27" s="10"/>
      <c r="Y27" s="10"/>
      <c r="Z27" s="10"/>
      <c r="AA27" s="10"/>
      <c r="AB27" s="10"/>
    </row>
    <row r="28" spans="1:30" s="2" customFormat="1">
      <c r="A28" s="10"/>
      <c r="B28" s="10"/>
      <c r="C28" s="10"/>
      <c r="D28" s="10"/>
      <c r="E28" s="10"/>
      <c r="F28" s="10"/>
      <c r="G28" s="10"/>
      <c r="H28" s="10"/>
      <c r="I28" s="10"/>
      <c r="J28" s="10"/>
      <c r="K28" s="10"/>
      <c r="L28" s="10"/>
      <c r="M28" s="10"/>
      <c r="N28" s="18"/>
      <c r="O28" s="18"/>
      <c r="P28" s="19">
        <v>44978</v>
      </c>
      <c r="Q28" s="25">
        <v>8.14</v>
      </c>
      <c r="R28" s="10"/>
      <c r="S28" s="19">
        <f t="shared" ref="S28:S36" si="1">P28</f>
        <v>44978</v>
      </c>
      <c r="T28" s="25">
        <f>(S28-S27)/360*K26*U26</f>
        <v>8.14</v>
      </c>
      <c r="U28" s="25">
        <f t="shared" ref="U28:U47" si="2">T28-Q28</f>
        <v>0</v>
      </c>
      <c r="V28" s="10"/>
      <c r="W28" s="10"/>
      <c r="X28" s="10"/>
      <c r="Y28" s="10"/>
      <c r="Z28" s="10"/>
      <c r="AA28" s="10"/>
      <c r="AB28" s="10"/>
    </row>
    <row r="29" spans="1:30" s="2" customFormat="1">
      <c r="A29" s="10"/>
      <c r="B29" s="10"/>
      <c r="C29" s="10"/>
      <c r="D29" s="10"/>
      <c r="E29" s="10"/>
      <c r="F29" s="10"/>
      <c r="G29" s="10"/>
      <c r="H29" s="10"/>
      <c r="I29" s="10"/>
      <c r="J29" s="10"/>
      <c r="K29" s="10"/>
      <c r="L29" s="10"/>
      <c r="M29" s="10"/>
      <c r="N29" s="18"/>
      <c r="O29" s="18"/>
      <c r="P29" s="19">
        <v>45006</v>
      </c>
      <c r="Q29" s="25">
        <v>7.35</v>
      </c>
      <c r="R29" s="10"/>
      <c r="S29" s="19">
        <f t="shared" si="1"/>
        <v>45006</v>
      </c>
      <c r="T29" s="25">
        <f>(S29-S28)/360*$K$48*$U$26</f>
        <v>7.35</v>
      </c>
      <c r="U29" s="25">
        <f t="shared" si="2"/>
        <v>0</v>
      </c>
      <c r="V29" s="10"/>
      <c r="W29" s="10"/>
      <c r="X29" s="10"/>
      <c r="Y29" s="10"/>
      <c r="Z29" s="10"/>
      <c r="AA29" s="10"/>
      <c r="AB29" s="10"/>
    </row>
    <row r="30" spans="1:30" s="2" customFormat="1">
      <c r="A30" s="10"/>
      <c r="B30" s="10"/>
      <c r="C30" s="10"/>
      <c r="D30" s="10"/>
      <c r="E30" s="10"/>
      <c r="F30" s="10"/>
      <c r="G30" s="10"/>
      <c r="H30" s="10"/>
      <c r="I30" s="10"/>
      <c r="J30" s="10"/>
      <c r="K30" s="10"/>
      <c r="L30" s="10"/>
      <c r="M30" s="10"/>
      <c r="N30" s="18"/>
      <c r="O30" s="18"/>
      <c r="P30" s="19">
        <v>45037</v>
      </c>
      <c r="Q30" s="25">
        <v>8.14</v>
      </c>
      <c r="R30" s="10"/>
      <c r="S30" s="19">
        <f t="shared" si="1"/>
        <v>45037</v>
      </c>
      <c r="T30" s="25">
        <f t="shared" ref="T30:T36" si="3">(S30-S29)/360*$K$48*$U$26</f>
        <v>8.14</v>
      </c>
      <c r="U30" s="25">
        <f t="shared" si="2"/>
        <v>0</v>
      </c>
      <c r="V30" s="10"/>
      <c r="W30" s="10"/>
      <c r="X30" s="10"/>
      <c r="Y30" s="10"/>
      <c r="Z30" s="10"/>
      <c r="AA30" s="10"/>
      <c r="AB30" s="10"/>
    </row>
    <row r="31" spans="1:30" s="2" customFormat="1">
      <c r="A31" s="10"/>
      <c r="B31" s="10"/>
      <c r="C31" s="10"/>
      <c r="D31" s="10"/>
      <c r="E31" s="10"/>
      <c r="F31" s="10"/>
      <c r="G31" s="10"/>
      <c r="H31" s="10"/>
      <c r="I31" s="10"/>
      <c r="J31" s="10"/>
      <c r="K31" s="10"/>
      <c r="L31" s="10"/>
      <c r="M31" s="10"/>
      <c r="N31" s="18"/>
      <c r="O31" s="18"/>
      <c r="P31" s="19">
        <v>45067</v>
      </c>
      <c r="Q31" s="25">
        <v>7.88</v>
      </c>
      <c r="R31" s="10"/>
      <c r="S31" s="19">
        <f t="shared" si="1"/>
        <v>45067</v>
      </c>
      <c r="T31" s="25">
        <f t="shared" si="3"/>
        <v>7.88</v>
      </c>
      <c r="U31" s="25">
        <f t="shared" si="2"/>
        <v>0</v>
      </c>
      <c r="V31" s="10"/>
      <c r="W31" s="10"/>
      <c r="X31" s="10"/>
      <c r="Y31" s="10"/>
      <c r="Z31" s="10"/>
      <c r="AA31" s="10"/>
      <c r="AB31" s="10"/>
    </row>
    <row r="32" spans="1:30" s="2" customFormat="1">
      <c r="A32" s="10"/>
      <c r="B32" s="10"/>
      <c r="C32" s="10"/>
      <c r="D32" s="10"/>
      <c r="E32" s="10"/>
      <c r="F32" s="10"/>
      <c r="G32" s="10"/>
      <c r="H32" s="10"/>
      <c r="I32" s="10"/>
      <c r="J32" s="10"/>
      <c r="K32" s="10"/>
      <c r="L32" s="10"/>
      <c r="M32" s="10"/>
      <c r="N32" s="18"/>
      <c r="O32" s="18"/>
      <c r="P32" s="19">
        <v>45098</v>
      </c>
      <c r="Q32" s="25">
        <v>8.14</v>
      </c>
      <c r="R32" s="10"/>
      <c r="S32" s="19">
        <f t="shared" si="1"/>
        <v>45098</v>
      </c>
      <c r="T32" s="25">
        <f t="shared" si="3"/>
        <v>8.14</v>
      </c>
      <c r="U32" s="25">
        <f t="shared" si="2"/>
        <v>0</v>
      </c>
      <c r="V32" s="10"/>
      <c r="W32" s="10"/>
      <c r="X32" s="10"/>
      <c r="Y32" s="10"/>
      <c r="Z32" s="10"/>
      <c r="AA32" s="10"/>
      <c r="AB32" s="10"/>
    </row>
    <row r="33" spans="1:30" s="2" customFormat="1">
      <c r="A33" s="10"/>
      <c r="B33" s="10"/>
      <c r="C33" s="10"/>
      <c r="D33" s="10"/>
      <c r="E33" s="10"/>
      <c r="F33" s="10"/>
      <c r="G33" s="10"/>
      <c r="H33" s="10"/>
      <c r="I33" s="10"/>
      <c r="J33" s="10"/>
      <c r="K33" s="10"/>
      <c r="L33" s="10"/>
      <c r="M33" s="10"/>
      <c r="N33" s="18"/>
      <c r="O33" s="18"/>
      <c r="P33" s="19">
        <v>45128</v>
      </c>
      <c r="Q33" s="25">
        <v>7.88</v>
      </c>
      <c r="R33" s="10"/>
      <c r="S33" s="19">
        <f t="shared" si="1"/>
        <v>45128</v>
      </c>
      <c r="T33" s="25">
        <f t="shared" si="3"/>
        <v>7.88</v>
      </c>
      <c r="U33" s="25">
        <f t="shared" si="2"/>
        <v>0</v>
      </c>
      <c r="V33" s="10"/>
      <c r="W33" s="10"/>
      <c r="X33" s="10"/>
      <c r="Y33" s="10"/>
      <c r="Z33" s="10"/>
      <c r="AA33" s="10"/>
      <c r="AB33" s="10"/>
    </row>
    <row r="34" spans="1:30" s="2" customFormat="1">
      <c r="A34" s="10"/>
      <c r="B34" s="10"/>
      <c r="C34" s="10"/>
      <c r="D34" s="10"/>
      <c r="E34" s="10"/>
      <c r="F34" s="10"/>
      <c r="G34" s="10"/>
      <c r="H34" s="10"/>
      <c r="I34" s="10"/>
      <c r="J34" s="10"/>
      <c r="K34" s="10"/>
      <c r="L34" s="10"/>
      <c r="M34" s="10"/>
      <c r="N34" s="18"/>
      <c r="O34" s="18"/>
      <c r="P34" s="19">
        <v>45159</v>
      </c>
      <c r="Q34" s="25">
        <v>8.14</v>
      </c>
      <c r="R34" s="10"/>
      <c r="S34" s="19">
        <f t="shared" si="1"/>
        <v>45159</v>
      </c>
      <c r="T34" s="25">
        <f t="shared" si="3"/>
        <v>8.14</v>
      </c>
      <c r="U34" s="25">
        <f t="shared" si="2"/>
        <v>0</v>
      </c>
      <c r="V34" s="10"/>
      <c r="W34" s="10"/>
      <c r="X34" s="10"/>
      <c r="Y34" s="10"/>
      <c r="Z34" s="10"/>
      <c r="AA34" s="10"/>
      <c r="AB34" s="10"/>
    </row>
    <row r="35" spans="1:30" s="2" customFormat="1">
      <c r="A35" s="10"/>
      <c r="B35" s="10"/>
      <c r="C35" s="10"/>
      <c r="D35" s="10"/>
      <c r="E35" s="10"/>
      <c r="F35" s="10"/>
      <c r="G35" s="10"/>
      <c r="H35" s="10"/>
      <c r="I35" s="10"/>
      <c r="J35" s="10"/>
      <c r="K35" s="10"/>
      <c r="L35" s="10"/>
      <c r="M35" s="10"/>
      <c r="N35" s="18"/>
      <c r="O35" s="18"/>
      <c r="P35" s="19">
        <v>45190</v>
      </c>
      <c r="Q35" s="25">
        <v>8.14</v>
      </c>
      <c r="R35" s="10"/>
      <c r="S35" s="19">
        <f t="shared" si="1"/>
        <v>45190</v>
      </c>
      <c r="T35" s="25">
        <f t="shared" si="3"/>
        <v>8.14</v>
      </c>
      <c r="U35" s="25">
        <f t="shared" si="2"/>
        <v>0</v>
      </c>
      <c r="V35" s="10"/>
      <c r="W35" s="10"/>
      <c r="X35" s="10"/>
      <c r="Y35" s="10"/>
      <c r="Z35" s="10"/>
      <c r="AA35" s="10"/>
      <c r="AB35" s="10"/>
    </row>
    <row r="36" spans="1:30" s="2" customFormat="1">
      <c r="A36" s="10"/>
      <c r="B36" s="10"/>
      <c r="C36" s="10"/>
      <c r="D36" s="10"/>
      <c r="E36" s="10"/>
      <c r="F36" s="10"/>
      <c r="G36" s="10"/>
      <c r="H36" s="10"/>
      <c r="I36" s="10"/>
      <c r="J36" s="10"/>
      <c r="K36" s="10"/>
      <c r="L36" s="10"/>
      <c r="M36" s="10"/>
      <c r="N36" s="18"/>
      <c r="O36" s="18"/>
      <c r="P36" s="19">
        <v>45217</v>
      </c>
      <c r="Q36" s="25">
        <v>7.09</v>
      </c>
      <c r="R36" s="10"/>
      <c r="S36" s="19">
        <f t="shared" si="1"/>
        <v>45217</v>
      </c>
      <c r="T36" s="25">
        <f t="shared" si="3"/>
        <v>7.09</v>
      </c>
      <c r="U36" s="25">
        <f t="shared" si="2"/>
        <v>0</v>
      </c>
      <c r="V36" s="10"/>
      <c r="W36" s="10"/>
      <c r="X36" s="10"/>
      <c r="Y36" s="10"/>
      <c r="Z36" s="10"/>
      <c r="AA36" s="10"/>
      <c r="AB36" s="10"/>
    </row>
    <row r="37" spans="1:30" s="2" customFormat="1" hidden="1">
      <c r="A37" s="10"/>
      <c r="B37" s="10"/>
      <c r="C37" s="10"/>
      <c r="D37" s="10"/>
      <c r="E37" s="10"/>
      <c r="F37" s="10"/>
      <c r="G37" s="10"/>
      <c r="H37" s="10"/>
      <c r="I37" s="10"/>
      <c r="J37" s="10"/>
      <c r="K37" s="10"/>
      <c r="L37" s="10"/>
      <c r="M37" s="10"/>
      <c r="N37" s="18"/>
      <c r="O37" s="18"/>
      <c r="P37" s="19"/>
      <c r="Q37" s="25"/>
      <c r="R37" s="10"/>
      <c r="S37" s="19"/>
      <c r="T37" s="25"/>
      <c r="U37" s="25">
        <f t="shared" si="2"/>
        <v>0</v>
      </c>
      <c r="V37" s="10"/>
      <c r="W37" s="10"/>
      <c r="X37" s="10"/>
      <c r="Y37" s="10"/>
      <c r="Z37" s="10"/>
      <c r="AA37" s="10"/>
      <c r="AB37" s="10"/>
    </row>
    <row r="38" spans="1:30" s="2" customFormat="1" hidden="1">
      <c r="A38" s="10"/>
      <c r="B38" s="10"/>
      <c r="C38" s="10"/>
      <c r="D38" s="10"/>
      <c r="E38" s="10"/>
      <c r="F38" s="10"/>
      <c r="G38" s="10"/>
      <c r="H38" s="10"/>
      <c r="I38" s="10"/>
      <c r="J38" s="10"/>
      <c r="K38" s="10"/>
      <c r="L38" s="10"/>
      <c r="M38" s="10"/>
      <c r="N38" s="18"/>
      <c r="O38" s="18"/>
      <c r="P38" s="19"/>
      <c r="Q38" s="25"/>
      <c r="R38" s="10"/>
      <c r="S38" s="19"/>
      <c r="T38" s="25"/>
      <c r="U38" s="25">
        <f t="shared" si="2"/>
        <v>0</v>
      </c>
      <c r="V38" s="10"/>
      <c r="W38" s="10"/>
      <c r="X38" s="10"/>
      <c r="Y38" s="10"/>
      <c r="Z38" s="10"/>
      <c r="AA38" s="10"/>
      <c r="AB38" s="10"/>
    </row>
    <row r="39" spans="1:30" s="2" customFormat="1" hidden="1">
      <c r="A39" s="10"/>
      <c r="B39" s="10"/>
      <c r="C39" s="10"/>
      <c r="D39" s="10"/>
      <c r="E39" s="10"/>
      <c r="F39" s="10"/>
      <c r="G39" s="10"/>
      <c r="H39" s="10"/>
      <c r="I39" s="10"/>
      <c r="J39" s="10"/>
      <c r="K39" s="10"/>
      <c r="L39" s="10"/>
      <c r="M39" s="10"/>
      <c r="N39" s="18"/>
      <c r="O39" s="18"/>
      <c r="P39" s="19"/>
      <c r="Q39" s="25"/>
      <c r="R39" s="10"/>
      <c r="S39" s="19"/>
      <c r="T39" s="25"/>
      <c r="U39" s="25">
        <f t="shared" si="2"/>
        <v>0</v>
      </c>
      <c r="V39" s="10"/>
      <c r="W39" s="10"/>
      <c r="X39" s="10"/>
      <c r="Y39" s="10"/>
      <c r="Z39" s="10"/>
      <c r="AA39" s="10"/>
      <c r="AB39" s="10"/>
    </row>
    <row r="40" spans="1:30" s="2" customFormat="1" hidden="1">
      <c r="A40" s="10"/>
      <c r="B40" s="10"/>
      <c r="C40" s="10"/>
      <c r="D40" s="10"/>
      <c r="E40" s="10"/>
      <c r="F40" s="10"/>
      <c r="G40" s="10"/>
      <c r="H40" s="10"/>
      <c r="I40" s="10"/>
      <c r="J40" s="10"/>
      <c r="K40" s="10"/>
      <c r="L40" s="10"/>
      <c r="M40" s="10"/>
      <c r="N40" s="18"/>
      <c r="O40" s="18"/>
      <c r="P40" s="19"/>
      <c r="Q40" s="25"/>
      <c r="R40" s="10"/>
      <c r="S40" s="19"/>
      <c r="T40" s="25"/>
      <c r="U40" s="25">
        <f t="shared" si="2"/>
        <v>0</v>
      </c>
      <c r="V40" s="10"/>
      <c r="W40" s="10"/>
      <c r="X40" s="10"/>
      <c r="Y40" s="10"/>
      <c r="Z40" s="10"/>
      <c r="AA40" s="10"/>
      <c r="AB40" s="10"/>
    </row>
    <row r="41" spans="1:30" s="2" customFormat="1" hidden="1">
      <c r="A41" s="10"/>
      <c r="B41" s="10"/>
      <c r="C41" s="10"/>
      <c r="D41" s="10"/>
      <c r="E41" s="10"/>
      <c r="F41" s="10"/>
      <c r="G41" s="10"/>
      <c r="H41" s="10"/>
      <c r="I41" s="10"/>
      <c r="J41" s="10"/>
      <c r="K41" s="10"/>
      <c r="L41" s="10"/>
      <c r="M41" s="10"/>
      <c r="N41" s="18"/>
      <c r="O41" s="18"/>
      <c r="P41" s="19"/>
      <c r="Q41" s="25"/>
      <c r="R41" s="10"/>
      <c r="S41" s="19"/>
      <c r="T41" s="25"/>
      <c r="U41" s="25">
        <f t="shared" si="2"/>
        <v>0</v>
      </c>
      <c r="V41" s="10"/>
      <c r="W41" s="10"/>
      <c r="X41" s="10"/>
      <c r="Y41" s="10"/>
      <c r="Z41" s="10"/>
      <c r="AA41" s="10"/>
      <c r="AB41" s="10"/>
    </row>
    <row r="42" spans="1:30" s="2" customFormat="1" hidden="1">
      <c r="A42" s="10"/>
      <c r="B42" s="10"/>
      <c r="C42" s="10"/>
      <c r="D42" s="10"/>
      <c r="E42" s="10"/>
      <c r="F42" s="10"/>
      <c r="G42" s="10"/>
      <c r="H42" s="10"/>
      <c r="I42" s="10"/>
      <c r="J42" s="10"/>
      <c r="K42" s="10"/>
      <c r="L42" s="10"/>
      <c r="M42" s="10"/>
      <c r="N42" s="18"/>
      <c r="O42" s="18"/>
      <c r="P42" s="19"/>
      <c r="Q42" s="25"/>
      <c r="R42" s="10"/>
      <c r="S42" s="19"/>
      <c r="T42" s="25"/>
      <c r="U42" s="25">
        <f t="shared" si="2"/>
        <v>0</v>
      </c>
      <c r="V42" s="10"/>
      <c r="W42" s="10"/>
      <c r="X42" s="10"/>
      <c r="Y42" s="10"/>
      <c r="Z42" s="10"/>
      <c r="AA42" s="10"/>
      <c r="AB42" s="10"/>
    </row>
    <row r="43" spans="1:30" s="2" customFormat="1" hidden="1">
      <c r="A43" s="10"/>
      <c r="B43" s="10"/>
      <c r="C43" s="10"/>
      <c r="D43" s="10"/>
      <c r="E43" s="10"/>
      <c r="F43" s="10"/>
      <c r="G43" s="10"/>
      <c r="H43" s="10"/>
      <c r="I43" s="10"/>
      <c r="J43" s="10"/>
      <c r="K43" s="10"/>
      <c r="L43" s="10"/>
      <c r="M43" s="10"/>
      <c r="N43" s="18"/>
      <c r="O43" s="18"/>
      <c r="P43" s="19"/>
      <c r="Q43" s="25"/>
      <c r="R43" s="10"/>
      <c r="S43" s="19"/>
      <c r="T43" s="25"/>
      <c r="U43" s="25">
        <f t="shared" si="2"/>
        <v>0</v>
      </c>
      <c r="V43" s="10"/>
      <c r="W43" s="10"/>
      <c r="X43" s="10"/>
      <c r="Y43" s="10"/>
      <c r="Z43" s="10"/>
      <c r="AA43" s="10"/>
      <c r="AB43" s="10"/>
    </row>
    <row r="44" spans="1:30" s="2" customFormat="1" hidden="1">
      <c r="A44" s="10"/>
      <c r="B44" s="10"/>
      <c r="C44" s="10"/>
      <c r="D44" s="10"/>
      <c r="E44" s="10"/>
      <c r="F44" s="10"/>
      <c r="G44" s="10"/>
      <c r="H44" s="10"/>
      <c r="I44" s="10"/>
      <c r="J44" s="10"/>
      <c r="K44" s="10"/>
      <c r="L44" s="10"/>
      <c r="M44" s="10"/>
      <c r="N44" s="18"/>
      <c r="O44" s="18"/>
      <c r="P44" s="19"/>
      <c r="Q44" s="25"/>
      <c r="R44" s="10"/>
      <c r="S44" s="19"/>
      <c r="T44" s="25"/>
      <c r="U44" s="25">
        <f t="shared" si="2"/>
        <v>0</v>
      </c>
      <c r="V44" s="10"/>
      <c r="W44" s="10"/>
      <c r="X44" s="10"/>
      <c r="Y44" s="10"/>
      <c r="Z44" s="10"/>
      <c r="AA44" s="10"/>
      <c r="AB44" s="10"/>
    </row>
    <row r="45" spans="1:30" s="2" customFormat="1" hidden="1">
      <c r="A45" s="10"/>
      <c r="B45" s="10"/>
      <c r="C45" s="10"/>
      <c r="D45" s="10"/>
      <c r="E45" s="10"/>
      <c r="F45" s="10"/>
      <c r="G45" s="10"/>
      <c r="H45" s="10"/>
      <c r="I45" s="10"/>
      <c r="J45" s="10"/>
      <c r="K45" s="10"/>
      <c r="L45" s="10"/>
      <c r="M45" s="10"/>
      <c r="N45" s="18"/>
      <c r="O45" s="18"/>
      <c r="P45" s="19"/>
      <c r="Q45" s="25"/>
      <c r="R45" s="10"/>
      <c r="S45" s="19"/>
      <c r="T45" s="25"/>
      <c r="U45" s="25">
        <f t="shared" si="2"/>
        <v>0</v>
      </c>
      <c r="V45" s="10"/>
      <c r="W45" s="10"/>
      <c r="X45" s="10"/>
      <c r="Y45" s="10"/>
      <c r="Z45" s="10"/>
      <c r="AA45" s="10"/>
      <c r="AB45" s="10"/>
    </row>
    <row r="46" spans="1:30" s="2" customFormat="1" hidden="1">
      <c r="A46" s="10"/>
      <c r="B46" s="10"/>
      <c r="C46" s="10"/>
      <c r="D46" s="10"/>
      <c r="E46" s="10"/>
      <c r="F46" s="10"/>
      <c r="G46" s="10"/>
      <c r="H46" s="10"/>
      <c r="I46" s="10"/>
      <c r="J46" s="10"/>
      <c r="K46" s="10"/>
      <c r="L46" s="10"/>
      <c r="M46" s="10"/>
      <c r="N46" s="18"/>
      <c r="O46" s="18"/>
      <c r="P46" s="19"/>
      <c r="Q46" s="25"/>
      <c r="R46" s="10"/>
      <c r="S46" s="19"/>
      <c r="T46" s="25"/>
      <c r="U46" s="25">
        <f t="shared" si="2"/>
        <v>0</v>
      </c>
      <c r="V46" s="10"/>
      <c r="W46" s="10"/>
      <c r="X46" s="10"/>
      <c r="Y46" s="10"/>
      <c r="Z46" s="10"/>
      <c r="AA46" s="10"/>
      <c r="AB46" s="10"/>
    </row>
    <row r="47" spans="1:30" s="2" customFormat="1" hidden="1">
      <c r="A47" s="10"/>
      <c r="B47" s="10"/>
      <c r="C47" s="10"/>
      <c r="D47" s="10"/>
      <c r="E47" s="10"/>
      <c r="F47" s="10"/>
      <c r="G47" s="10"/>
      <c r="H47" s="10"/>
      <c r="I47" s="10"/>
      <c r="J47" s="10"/>
      <c r="K47" s="10"/>
      <c r="L47" s="10"/>
      <c r="M47" s="10"/>
      <c r="N47" s="18"/>
      <c r="O47" s="18"/>
      <c r="P47" s="19"/>
      <c r="Q47" s="25"/>
      <c r="R47" s="10"/>
      <c r="S47" s="19"/>
      <c r="T47" s="25"/>
      <c r="U47" s="25">
        <f t="shared" si="2"/>
        <v>0</v>
      </c>
      <c r="V47" s="10"/>
      <c r="W47" s="10"/>
      <c r="X47" s="10"/>
      <c r="Y47" s="10"/>
      <c r="Z47" s="10"/>
      <c r="AA47" s="10"/>
      <c r="AB47" s="10"/>
    </row>
    <row r="48" spans="1:30" s="1" customFormat="1" ht="98">
      <c r="A48" s="9">
        <v>3</v>
      </c>
      <c r="B48" s="9" t="str">
        <f>B26</f>
        <v>成都宏明电子股份有限公司</v>
      </c>
      <c r="C48" s="9" t="str">
        <f t="shared" ref="C48:G48" si="4">C26</f>
        <v>成都市市场监督管理局</v>
      </c>
      <c r="D48" s="9" t="str">
        <f t="shared" si="4"/>
        <v>915101002019334483</v>
      </c>
      <c r="E48" s="9" t="str">
        <f t="shared" si="4"/>
        <v>股份有限公司</v>
      </c>
      <c r="F48" s="9" t="str">
        <f t="shared" si="4"/>
        <v>成都市成华区税务局</v>
      </c>
      <c r="G48" s="9" t="str">
        <f t="shared" si="4"/>
        <v>4402211009004001710(中国工商银行股份有限公司成都沙河支行)</v>
      </c>
      <c r="H48" s="9" t="s">
        <v>156</v>
      </c>
      <c r="I48" s="9" t="s">
        <v>835</v>
      </c>
      <c r="J48" s="9" t="s">
        <v>839</v>
      </c>
      <c r="K48" s="9">
        <v>3000</v>
      </c>
      <c r="L48" s="9" t="s">
        <v>840</v>
      </c>
      <c r="M48" s="9" t="s">
        <v>841</v>
      </c>
      <c r="N48" s="16">
        <v>45222</v>
      </c>
      <c r="O48" s="16">
        <v>45291</v>
      </c>
      <c r="P48" s="9">
        <f>P50-N48</f>
        <v>150</v>
      </c>
      <c r="Q48" s="22">
        <f>SUM(Q49:Q69)</f>
        <v>12.08</v>
      </c>
      <c r="R48" s="9">
        <v>11.51</v>
      </c>
      <c r="S48" s="9"/>
      <c r="T48" s="9">
        <f>SUM(T49:T69)</f>
        <v>26.26</v>
      </c>
      <c r="U48" s="23">
        <v>2.1000000000000001E-2</v>
      </c>
      <c r="V48" s="16"/>
      <c r="W48" s="9" t="s">
        <v>42</v>
      </c>
      <c r="X48" s="24">
        <v>0.02</v>
      </c>
      <c r="Y48" s="9">
        <f>ROUNDDOWN(IF((O48-N48+1)*K48*X48/365&gt;R48,R48,(O48-N48+1)*K48*X48/365),2)</f>
        <v>11.5</v>
      </c>
      <c r="Z48" s="9">
        <f>R48-Y48</f>
        <v>9.9999999999997903E-3</v>
      </c>
      <c r="AA48" s="9" t="s">
        <v>43</v>
      </c>
      <c r="AB48" s="9" t="s">
        <v>61</v>
      </c>
      <c r="AD48" s="1">
        <f>(O48-N48+1)*K48*X48/365</f>
        <v>11.5068493150685</v>
      </c>
    </row>
    <row r="49" spans="1:28" s="2" customFormat="1">
      <c r="A49" s="10"/>
      <c r="B49" s="10"/>
      <c r="C49" s="10"/>
      <c r="D49" s="10"/>
      <c r="E49" s="10"/>
      <c r="F49" s="10"/>
      <c r="G49" s="10"/>
      <c r="H49" s="10"/>
      <c r="I49" s="10"/>
      <c r="J49" s="10"/>
      <c r="K49" s="10"/>
      <c r="L49" s="10"/>
      <c r="M49" s="10"/>
      <c r="N49" s="18"/>
      <c r="O49" s="16">
        <v>45587</v>
      </c>
      <c r="P49" s="19">
        <v>45281</v>
      </c>
      <c r="Q49" s="25">
        <v>10.33</v>
      </c>
      <c r="R49" s="10"/>
      <c r="S49" s="19">
        <f>P49</f>
        <v>45281</v>
      </c>
      <c r="T49" s="25">
        <f>(S49-N48)*$K$48*$U$48/360</f>
        <v>10.33</v>
      </c>
      <c r="U49" s="25">
        <f>T49-Q49</f>
        <v>0</v>
      </c>
      <c r="V49" s="18"/>
      <c r="W49" s="10"/>
      <c r="X49" s="10"/>
      <c r="Y49" s="10"/>
      <c r="Z49" s="10"/>
      <c r="AA49" s="10"/>
      <c r="AB49" s="10"/>
    </row>
    <row r="50" spans="1:28" s="2" customFormat="1">
      <c r="A50" s="10"/>
      <c r="B50" s="10"/>
      <c r="C50" s="10"/>
      <c r="D50" s="10"/>
      <c r="E50" s="10"/>
      <c r="F50" s="10"/>
      <c r="G50" s="10"/>
      <c r="H50" s="10"/>
      <c r="I50" s="10"/>
      <c r="J50" s="10"/>
      <c r="K50" s="10"/>
      <c r="L50" s="10"/>
      <c r="M50" s="10"/>
      <c r="N50" s="18"/>
      <c r="O50" s="18"/>
      <c r="P50" s="19">
        <v>45372</v>
      </c>
      <c r="Q50" s="25">
        <v>1.75</v>
      </c>
      <c r="R50" s="10"/>
      <c r="S50" s="19">
        <f>P50</f>
        <v>45372</v>
      </c>
      <c r="T50" s="25">
        <f>(S50-S49)*$K$48*$U$48/360</f>
        <v>15.93</v>
      </c>
      <c r="U50" s="25">
        <f>T50-Q50</f>
        <v>14.18</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98" hidden="1">
      <c r="A70" s="9">
        <v>4</v>
      </c>
      <c r="B70" s="9" t="str">
        <f>B48</f>
        <v>成都宏明电子股份有限公司</v>
      </c>
      <c r="C70" s="9" t="str">
        <f t="shared" ref="C70:G70" si="5">C48</f>
        <v>成都市市场监督管理局</v>
      </c>
      <c r="D70" s="9" t="str">
        <f t="shared" si="5"/>
        <v>915101002019334483</v>
      </c>
      <c r="E70" s="9" t="str">
        <f t="shared" si="5"/>
        <v>股份有限公司</v>
      </c>
      <c r="F70" s="9" t="str">
        <f t="shared" si="5"/>
        <v>成都市成华区税务局</v>
      </c>
      <c r="G70" s="9" t="str">
        <f t="shared" si="5"/>
        <v>4402211009004001710(中国工商银行股份有限公司成都沙河支行)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98" hidden="1">
      <c r="A92" s="9">
        <v>5</v>
      </c>
      <c r="B92" s="9" t="str">
        <f>B70</f>
        <v>成都宏明电子股份有限公司</v>
      </c>
      <c r="C92" s="9" t="str">
        <f t="shared" ref="C92:G92" si="6">C70</f>
        <v>成都市市场监督管理局</v>
      </c>
      <c r="D92" s="9" t="str">
        <f t="shared" si="6"/>
        <v>915101002019334483</v>
      </c>
      <c r="E92" s="9" t="str">
        <f t="shared" si="6"/>
        <v>股份有限公司</v>
      </c>
      <c r="F92" s="9" t="str">
        <f t="shared" si="6"/>
        <v>成都市成华区税务局</v>
      </c>
      <c r="G92" s="9" t="str">
        <f t="shared" si="6"/>
        <v>4402211009004001710(中国工商银行股份有限公司成都沙河支行)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9000</v>
      </c>
      <c r="L114" s="9"/>
      <c r="M114" s="9"/>
      <c r="N114" s="16"/>
      <c r="O114" s="16"/>
      <c r="P114" s="9"/>
      <c r="Q114" s="9"/>
      <c r="R114" s="22">
        <f>R92+R70+R48+R26++R4</f>
        <v>71.510000000000005</v>
      </c>
      <c r="S114" s="9"/>
      <c r="T114" s="9"/>
      <c r="U114" s="9"/>
      <c r="V114" s="9"/>
      <c r="W114" s="9"/>
      <c r="X114" s="9"/>
      <c r="Y114" s="9">
        <f>Y92+Y70+Y48+Y26++Y4</f>
        <v>71.489999999999995</v>
      </c>
      <c r="Z114" s="9"/>
      <c r="AA114" s="9"/>
      <c r="AB114" s="9"/>
    </row>
    <row r="115" spans="1:28">
      <c r="I115" t="s">
        <v>49</v>
      </c>
      <c r="K115">
        <f ca="1">IF(K114&gt;3000,K116,K114)</f>
        <v>3000</v>
      </c>
    </row>
    <row r="116" spans="1:28">
      <c r="K116">
        <f ca="1">IF(K115&gt;3000,K117,K115)</f>
        <v>3000</v>
      </c>
    </row>
    <row r="117" spans="1:28">
      <c r="R117" s="125"/>
    </row>
  </sheetData>
  <autoFilter ref="A3:AD6" xr:uid="{00000000-0009-0000-0000-00004B000000}">
    <filterColumn colId="0">
      <colorFilter dxfId="2"/>
    </filterColumn>
  </autoFilter>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D116"/>
  <sheetViews>
    <sheetView topLeftCell="H1" zoomScale="69" zoomScaleNormal="69" workbookViewId="0">
      <pane ySplit="3" topLeftCell="A4" activePane="bottomLeft" state="frozen"/>
      <selection pane="bottomLeft" activeCell="B4" sqref="B4:AB26"/>
    </sheetView>
  </sheetViews>
  <sheetFormatPr defaultColWidth="9" defaultRowHeight="14"/>
  <cols>
    <col min="7" max="7" width="9" hidden="1" customWidth="1"/>
    <col min="14" max="14" width="10.75" style="4" customWidth="1"/>
    <col min="15" max="15" width="11.08203125" style="4" customWidth="1"/>
    <col min="16" max="16" width="9.83203125" customWidth="1"/>
    <col min="19" max="19" width="9.83203125" customWidth="1"/>
    <col min="22" max="22" width="11.5" customWidth="1"/>
    <col min="25" max="25" width="11.75" customWidth="1"/>
    <col min="29" max="29" width="9" hidden="1" customWidth="1"/>
    <col min="30" max="30" width="11.75" style="120" customWidth="1"/>
  </cols>
  <sheetData>
    <row r="1" spans="1:30" ht="25">
      <c r="B1" s="154" t="str">
        <f>B4&amp;AC1</f>
        <v>成都卡诺普机器人技术股份有限公司审计明细表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112">
      <c r="A4" s="9">
        <v>1</v>
      </c>
      <c r="B4" s="9" t="s">
        <v>630</v>
      </c>
      <c r="C4" s="9" t="s">
        <v>52</v>
      </c>
      <c r="D4" s="9" t="s">
        <v>842</v>
      </c>
      <c r="E4" s="9" t="s">
        <v>54</v>
      </c>
      <c r="F4" s="9" t="s">
        <v>584</v>
      </c>
      <c r="G4" s="9" t="s">
        <v>843</v>
      </c>
      <c r="H4" s="9" t="s">
        <v>71</v>
      </c>
      <c r="I4" s="9" t="s">
        <v>835</v>
      </c>
      <c r="J4" s="9" t="s">
        <v>73</v>
      </c>
      <c r="K4" s="9">
        <v>1000</v>
      </c>
      <c r="L4" s="9" t="s">
        <v>844</v>
      </c>
      <c r="M4" s="9" t="s">
        <v>845</v>
      </c>
      <c r="N4" s="16">
        <v>45139</v>
      </c>
      <c r="O4" s="16">
        <v>45291</v>
      </c>
      <c r="P4" s="9">
        <f>P9-N4</f>
        <v>173</v>
      </c>
      <c r="Q4" s="22">
        <f>SUM(Q5:Q25)</f>
        <v>12</v>
      </c>
      <c r="R4" s="22">
        <v>6.29</v>
      </c>
      <c r="S4" s="9"/>
      <c r="T4" s="22">
        <f>SUM(T5:T25)</f>
        <v>12</v>
      </c>
      <c r="U4" s="23">
        <v>2.5000000000000001E-2</v>
      </c>
      <c r="V4" s="16"/>
      <c r="W4" s="9" t="s">
        <v>42</v>
      </c>
      <c r="X4" s="24">
        <f>IFERROR(INDEX(#REF!,MATCH('64'!H4,#REF!)),0)</f>
        <v>0</v>
      </c>
      <c r="Y4" s="9">
        <f>ROUNDDOWN(IF((O4-N4+1)*K4*X4/365&gt;R4,R4,(O4-N4+1)*K4*X4/365),2)</f>
        <v>0</v>
      </c>
      <c r="Z4" s="22">
        <f>R4-Y4</f>
        <v>6.29</v>
      </c>
      <c r="AA4" s="22" t="s">
        <v>43</v>
      </c>
      <c r="AB4" s="9" t="s">
        <v>61</v>
      </c>
      <c r="AD4" s="121">
        <f>ROUND((O4-N4+1)*K4*X4/365,2)</f>
        <v>0</v>
      </c>
    </row>
    <row r="5" spans="1:30" s="2" customFormat="1">
      <c r="A5" s="10"/>
      <c r="B5" s="10"/>
      <c r="C5" s="10"/>
      <c r="D5" s="10"/>
      <c r="E5" s="10"/>
      <c r="F5" s="10"/>
      <c r="G5" s="10"/>
      <c r="H5" s="10"/>
      <c r="I5" s="10"/>
      <c r="J5" s="10"/>
      <c r="K5" s="10"/>
      <c r="L5" s="10"/>
      <c r="M5" s="10"/>
      <c r="N5" s="18"/>
      <c r="O5" s="16">
        <v>45504</v>
      </c>
      <c r="P5" s="19">
        <v>45190</v>
      </c>
      <c r="Q5" s="25">
        <v>3.54</v>
      </c>
      <c r="R5" s="10"/>
      <c r="S5" s="19">
        <f>P5</f>
        <v>45190</v>
      </c>
      <c r="T5" s="25">
        <f>(S5-N4)/360*$U$4*$K$4</f>
        <v>3.54</v>
      </c>
      <c r="U5" s="25">
        <f>T5-Q5</f>
        <v>0</v>
      </c>
      <c r="V5" s="18"/>
      <c r="W5" s="10"/>
      <c r="X5" s="10"/>
      <c r="Y5" s="10"/>
      <c r="Z5" s="10"/>
      <c r="AA5" s="10"/>
      <c r="AB5" s="10"/>
      <c r="AD5" s="122"/>
    </row>
    <row r="6" spans="1:30" s="2" customFormat="1">
      <c r="A6" s="10"/>
      <c r="B6" s="10"/>
      <c r="C6" s="10"/>
      <c r="D6" s="10"/>
      <c r="E6" s="10"/>
      <c r="F6" s="10"/>
      <c r="G6" s="10"/>
      <c r="H6" s="10"/>
      <c r="I6" s="10"/>
      <c r="J6" s="10"/>
      <c r="K6" s="10"/>
      <c r="L6" s="10"/>
      <c r="M6" s="10"/>
      <c r="N6" s="18"/>
      <c r="O6" s="18"/>
      <c r="P6" s="19">
        <v>45220</v>
      </c>
      <c r="Q6" s="25">
        <v>2.08</v>
      </c>
      <c r="R6" s="10"/>
      <c r="S6" s="19">
        <f t="shared" ref="S6:S9" si="0">P6</f>
        <v>45220</v>
      </c>
      <c r="T6" s="25">
        <f>(S6-S5)*$K$4*$U$4/360</f>
        <v>2.08</v>
      </c>
      <c r="U6" s="25">
        <f>T6-Q6</f>
        <v>0</v>
      </c>
      <c r="V6" s="10"/>
      <c r="W6" s="10"/>
      <c r="X6" s="10"/>
      <c r="Y6" s="10"/>
      <c r="Z6" s="10"/>
      <c r="AA6" s="10"/>
      <c r="AB6" s="10"/>
      <c r="AD6" s="122"/>
    </row>
    <row r="7" spans="1:30" s="2" customFormat="1" ht="16.5" customHeight="1">
      <c r="A7" s="10"/>
      <c r="B7" s="10"/>
      <c r="C7" s="10"/>
      <c r="D7" s="10"/>
      <c r="E7" s="10"/>
      <c r="F7" s="10"/>
      <c r="G7" s="10"/>
      <c r="H7" s="10"/>
      <c r="I7" s="10"/>
      <c r="J7" s="10"/>
      <c r="K7" s="10"/>
      <c r="L7" s="10"/>
      <c r="M7" s="10"/>
      <c r="N7" s="18"/>
      <c r="O7" s="18"/>
      <c r="P7" s="19">
        <v>45251</v>
      </c>
      <c r="Q7" s="25">
        <v>2.15</v>
      </c>
      <c r="R7" s="10"/>
      <c r="S7" s="19">
        <f t="shared" si="0"/>
        <v>45251</v>
      </c>
      <c r="T7" s="25">
        <f t="shared" ref="T7:T9" si="1">(S7-S6)*$K$4*$U$4/360</f>
        <v>2.15</v>
      </c>
      <c r="U7" s="25">
        <f t="shared" ref="U7:U9" si="2">T7-Q7</f>
        <v>0</v>
      </c>
      <c r="V7" s="10"/>
      <c r="W7" s="10"/>
      <c r="X7" s="10"/>
      <c r="Y7" s="10"/>
      <c r="Z7" s="10"/>
      <c r="AA7" s="10"/>
      <c r="AB7" s="10"/>
      <c r="AD7" s="122"/>
    </row>
    <row r="8" spans="1:30" s="2" customFormat="1">
      <c r="A8" s="10"/>
      <c r="B8" s="10"/>
      <c r="C8" s="10"/>
      <c r="D8" s="10"/>
      <c r="E8" s="10"/>
      <c r="F8" s="10"/>
      <c r="G8" s="10"/>
      <c r="H8" s="10"/>
      <c r="I8" s="10"/>
      <c r="J8" s="10"/>
      <c r="K8" s="10"/>
      <c r="L8" s="10"/>
      <c r="M8" s="10"/>
      <c r="N8" s="18"/>
      <c r="O8" s="18"/>
      <c r="P8" s="19">
        <v>45281</v>
      </c>
      <c r="Q8" s="25">
        <v>2.08</v>
      </c>
      <c r="R8" s="10"/>
      <c r="S8" s="19">
        <f t="shared" si="0"/>
        <v>45281</v>
      </c>
      <c r="T8" s="25">
        <f t="shared" si="1"/>
        <v>2.08</v>
      </c>
      <c r="U8" s="25">
        <f t="shared" si="2"/>
        <v>0</v>
      </c>
      <c r="V8" s="10"/>
      <c r="W8" s="10"/>
      <c r="X8" s="10"/>
      <c r="Y8" s="10"/>
      <c r="Z8" s="10"/>
      <c r="AA8" s="10"/>
      <c r="AB8" s="10"/>
      <c r="AD8" s="122"/>
    </row>
    <row r="9" spans="1:30" s="2" customFormat="1">
      <c r="A9" s="10"/>
      <c r="B9" s="10"/>
      <c r="C9" s="10"/>
      <c r="D9" s="10"/>
      <c r="E9" s="10"/>
      <c r="F9" s="10"/>
      <c r="G9" s="10"/>
      <c r="H9" s="10"/>
      <c r="I9" s="10"/>
      <c r="J9" s="10"/>
      <c r="K9" s="10"/>
      <c r="L9" s="10"/>
      <c r="M9" s="10"/>
      <c r="N9" s="18"/>
      <c r="O9" s="18"/>
      <c r="P9" s="19">
        <v>45312</v>
      </c>
      <c r="Q9" s="25">
        <v>2.15</v>
      </c>
      <c r="R9" s="10"/>
      <c r="S9" s="19">
        <f t="shared" si="0"/>
        <v>45312</v>
      </c>
      <c r="T9" s="25">
        <f t="shared" si="1"/>
        <v>2.15</v>
      </c>
      <c r="U9" s="25">
        <f t="shared" si="2"/>
        <v>0</v>
      </c>
      <c r="V9" s="10"/>
      <c r="W9" s="10"/>
      <c r="X9" s="10"/>
      <c r="Y9" s="10"/>
      <c r="Z9" s="10"/>
      <c r="AA9" s="10"/>
      <c r="AB9" s="10"/>
      <c r="AD9" s="122"/>
    </row>
    <row r="10" spans="1:30" s="2" customFormat="1" hidden="1">
      <c r="A10" s="10"/>
      <c r="B10" s="10"/>
      <c r="C10" s="10"/>
      <c r="D10" s="10"/>
      <c r="E10" s="10"/>
      <c r="F10" s="10"/>
      <c r="G10" s="10"/>
      <c r="H10" s="10"/>
      <c r="I10" s="10"/>
      <c r="J10" s="10"/>
      <c r="K10" s="10"/>
      <c r="L10" s="10"/>
      <c r="M10" s="10"/>
      <c r="N10" s="18"/>
      <c r="O10" s="18"/>
      <c r="P10" s="19"/>
      <c r="Q10" s="25"/>
      <c r="R10" s="10"/>
      <c r="S10" s="19"/>
      <c r="T10" s="25"/>
      <c r="U10" s="25"/>
      <c r="V10" s="10"/>
      <c r="W10" s="10"/>
      <c r="X10" s="10"/>
      <c r="Y10" s="10"/>
      <c r="Z10" s="10"/>
      <c r="AA10" s="10"/>
      <c r="AB10" s="10"/>
      <c r="AD10" s="122"/>
    </row>
    <row r="11" spans="1:30" s="2" customFormat="1" hidden="1">
      <c r="A11" s="10"/>
      <c r="B11" s="10"/>
      <c r="C11" s="10"/>
      <c r="D11" s="10"/>
      <c r="E11" s="10"/>
      <c r="F11" s="10"/>
      <c r="G11" s="10"/>
      <c r="H11" s="10"/>
      <c r="I11" s="10"/>
      <c r="J11" s="10"/>
      <c r="K11" s="10"/>
      <c r="L11" s="10"/>
      <c r="M11" s="10"/>
      <c r="N11" s="18"/>
      <c r="O11" s="18"/>
      <c r="P11" s="19"/>
      <c r="Q11" s="25"/>
      <c r="R11" s="10"/>
      <c r="S11" s="19"/>
      <c r="T11" s="25"/>
      <c r="U11" s="25"/>
      <c r="V11" s="10"/>
      <c r="W11" s="10"/>
      <c r="X11" s="10"/>
      <c r="Y11" s="10"/>
      <c r="Z11" s="10"/>
      <c r="AA11" s="10"/>
      <c r="AB11" s="10"/>
      <c r="AD11" s="122"/>
    </row>
    <row r="12" spans="1:30" s="2" customFormat="1" hidden="1">
      <c r="A12" s="10"/>
      <c r="B12" s="10"/>
      <c r="C12" s="10"/>
      <c r="D12" s="10"/>
      <c r="E12" s="10"/>
      <c r="F12" s="10"/>
      <c r="G12" s="10"/>
      <c r="H12" s="10"/>
      <c r="I12" s="10"/>
      <c r="J12" s="10"/>
      <c r="K12" s="10"/>
      <c r="L12" s="10"/>
      <c r="M12" s="10"/>
      <c r="N12" s="18"/>
      <c r="O12" s="18"/>
      <c r="P12" s="19"/>
      <c r="Q12" s="25"/>
      <c r="R12" s="10"/>
      <c r="S12" s="19"/>
      <c r="T12" s="25"/>
      <c r="U12" s="25"/>
      <c r="V12" s="10"/>
      <c r="W12" s="10"/>
      <c r="X12" s="10"/>
      <c r="Y12" s="10"/>
      <c r="Z12" s="10"/>
      <c r="AA12" s="10"/>
      <c r="AB12" s="10"/>
      <c r="AD12" s="122"/>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c r="AD13" s="122"/>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c r="AD14" s="122"/>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c r="AD15" s="122"/>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c r="AD16" s="122"/>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c r="AD17" s="122"/>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c r="AD18" s="122"/>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c r="AD19" s="122"/>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c r="AD20" s="122"/>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c r="AD21" s="122"/>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c r="AD22" s="122"/>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c r="AD23" s="122"/>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c r="AD24" s="122"/>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c r="AD25" s="122"/>
    </row>
    <row r="26" spans="1:30" s="1" customFormat="1" ht="112" hidden="1">
      <c r="A26" s="9">
        <v>2</v>
      </c>
      <c r="B26" s="9" t="str">
        <f>B4</f>
        <v>成都卡诺普机器人技术股份有限公司</v>
      </c>
      <c r="C26" s="9" t="str">
        <f t="shared" ref="C26:G26" si="3">C4</f>
        <v>成都市市场监督管理局</v>
      </c>
      <c r="D26" s="9" t="str">
        <f t="shared" si="3"/>
        <v>9151010805253547XQ</v>
      </c>
      <c r="E26" s="9" t="str">
        <f t="shared" si="3"/>
        <v>股份有限公司</v>
      </c>
      <c r="F26" s="9" t="str">
        <f t="shared" si="3"/>
        <v>成都市成华区税务局</v>
      </c>
      <c r="G26" s="9" t="str">
        <f t="shared" si="3"/>
        <v>51001488558052502905（中国建设银行股份有限公司成都龙潭支行）</v>
      </c>
      <c r="H26" s="9"/>
      <c r="I26" s="9"/>
      <c r="J26" s="9"/>
      <c r="K26" s="9"/>
      <c r="L26" s="9"/>
      <c r="M26" s="9"/>
      <c r="N26" s="16"/>
      <c r="O26" s="16"/>
      <c r="P26" s="9">
        <f>P32-N26</f>
        <v>0</v>
      </c>
      <c r="Q26" s="22">
        <f>SUM(Q27:Q47)</f>
        <v>0</v>
      </c>
      <c r="R26" s="9"/>
      <c r="S26" s="9"/>
      <c r="T26" s="9">
        <f>SUM(T27:T47)</f>
        <v>0</v>
      </c>
      <c r="U26" s="23">
        <v>3.85E-2</v>
      </c>
      <c r="V26" s="16"/>
      <c r="W26" s="9"/>
      <c r="X26" s="24">
        <v>1.4999999999999999E-2</v>
      </c>
      <c r="Y26" s="9">
        <f>ROUNDUP(IF((O26-N26+1)*K26*X26/365&gt;R26,R26,(O26-N26+1)*K26*X26/365),2)</f>
        <v>0</v>
      </c>
      <c r="Z26" s="9"/>
      <c r="AA26" s="9"/>
      <c r="AB26" s="9" t="s">
        <v>783</v>
      </c>
      <c r="AD26" s="121">
        <f>(O26-N26+1)*K26*X26/365</f>
        <v>0</v>
      </c>
    </row>
    <row r="27" spans="1:30" s="2" customFormat="1" hidden="1">
      <c r="A27" s="10"/>
      <c r="B27" s="10"/>
      <c r="C27" s="10"/>
      <c r="D27" s="10"/>
      <c r="E27" s="10"/>
      <c r="F27" s="10"/>
      <c r="G27" s="10"/>
      <c r="H27" s="10"/>
      <c r="I27" s="10"/>
      <c r="J27" s="10"/>
      <c r="K27" s="10"/>
      <c r="L27" s="10"/>
      <c r="M27" s="10"/>
      <c r="N27" s="18"/>
      <c r="O27" s="16">
        <v>45653</v>
      </c>
      <c r="P27" s="19"/>
      <c r="Q27" s="25"/>
      <c r="R27" s="10"/>
      <c r="S27" s="19">
        <f>P27</f>
        <v>0</v>
      </c>
      <c r="T27" s="25">
        <f>(S27-N26)/360*$U$26*$K$26</f>
        <v>0</v>
      </c>
      <c r="U27" s="25">
        <f>T27-Q27</f>
        <v>0</v>
      </c>
      <c r="V27" s="18"/>
      <c r="W27" s="10"/>
      <c r="X27" s="10"/>
      <c r="Y27" s="29">
        <f>ROUNDUP((V27-N26)*K26*X26/365,2)</f>
        <v>0</v>
      </c>
      <c r="Z27" s="10"/>
      <c r="AA27" s="10"/>
      <c r="AB27" s="10"/>
      <c r="AD27" s="122"/>
    </row>
    <row r="28" spans="1:30" s="2" customFormat="1" hidden="1">
      <c r="A28" s="10"/>
      <c r="B28" s="10"/>
      <c r="C28" s="10"/>
      <c r="D28" s="10"/>
      <c r="E28" s="10"/>
      <c r="F28" s="10"/>
      <c r="G28" s="10"/>
      <c r="H28" s="10"/>
      <c r="I28" s="10"/>
      <c r="J28" s="10"/>
      <c r="K28" s="10"/>
      <c r="L28" s="10"/>
      <c r="M28" s="10"/>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c r="AD28" s="122"/>
    </row>
    <row r="29" spans="1:30" s="2" customFormat="1" hidden="1">
      <c r="A29" s="10"/>
      <c r="B29" s="10"/>
      <c r="C29" s="10"/>
      <c r="D29" s="10"/>
      <c r="E29" s="10"/>
      <c r="F29" s="10"/>
      <c r="G29" s="10"/>
      <c r="H29" s="10"/>
      <c r="I29" s="10"/>
      <c r="J29" s="10"/>
      <c r="K29" s="10"/>
      <c r="L29" s="10"/>
      <c r="M29" s="10"/>
      <c r="N29" s="18"/>
      <c r="O29" s="18"/>
      <c r="P29" s="19"/>
      <c r="Q29" s="25"/>
      <c r="R29" s="10"/>
      <c r="S29" s="19">
        <f t="shared" si="4"/>
        <v>0</v>
      </c>
      <c r="T29" s="25">
        <f t="shared" ref="T29:T32" si="6">(S29-S28)*$U$26*$K$26/360</f>
        <v>0</v>
      </c>
      <c r="U29" s="25">
        <f t="shared" si="5"/>
        <v>0</v>
      </c>
      <c r="V29" s="10"/>
      <c r="W29" s="10"/>
      <c r="X29" s="10"/>
      <c r="Y29" s="10"/>
      <c r="Z29" s="10"/>
      <c r="AA29" s="10"/>
      <c r="AB29" s="10"/>
      <c r="AD29" s="122"/>
    </row>
    <row r="30" spans="1:30" s="2" customFormat="1" hidden="1">
      <c r="A30" s="10"/>
      <c r="B30" s="10"/>
      <c r="C30" s="10"/>
      <c r="D30" s="10"/>
      <c r="E30" s="10"/>
      <c r="F30" s="10"/>
      <c r="G30" s="10"/>
      <c r="H30" s="10"/>
      <c r="I30" s="10"/>
      <c r="J30" s="10"/>
      <c r="K30" s="10"/>
      <c r="L30" s="10"/>
      <c r="M30" s="10"/>
      <c r="N30" s="18"/>
      <c r="O30" s="18"/>
      <c r="P30" s="19"/>
      <c r="Q30" s="25"/>
      <c r="R30" s="10"/>
      <c r="S30" s="19">
        <f t="shared" si="4"/>
        <v>0</v>
      </c>
      <c r="T30" s="25">
        <f t="shared" si="6"/>
        <v>0</v>
      </c>
      <c r="U30" s="25">
        <f t="shared" si="5"/>
        <v>0</v>
      </c>
      <c r="V30" s="10"/>
      <c r="W30" s="10"/>
      <c r="X30" s="10"/>
      <c r="Y30" s="10"/>
      <c r="Z30" s="10"/>
      <c r="AA30" s="10"/>
      <c r="AB30" s="10"/>
      <c r="AD30" s="122"/>
    </row>
    <row r="31" spans="1:30" s="2" customFormat="1" hidden="1">
      <c r="A31" s="10"/>
      <c r="B31" s="10"/>
      <c r="C31" s="10"/>
      <c r="D31" s="10"/>
      <c r="E31" s="10"/>
      <c r="F31" s="10"/>
      <c r="G31" s="10"/>
      <c r="H31" s="10"/>
      <c r="I31" s="10"/>
      <c r="J31" s="10"/>
      <c r="K31" s="10"/>
      <c r="L31" s="10"/>
      <c r="M31" s="10"/>
      <c r="N31" s="18"/>
      <c r="O31" s="18"/>
      <c r="P31" s="19"/>
      <c r="Q31" s="25"/>
      <c r="R31" s="10"/>
      <c r="S31" s="19">
        <f t="shared" si="4"/>
        <v>0</v>
      </c>
      <c r="T31" s="25">
        <f t="shared" si="6"/>
        <v>0</v>
      </c>
      <c r="U31" s="25">
        <f t="shared" si="5"/>
        <v>0</v>
      </c>
      <c r="V31" s="10"/>
      <c r="W31" s="10"/>
      <c r="X31" s="10"/>
      <c r="Y31" s="10"/>
      <c r="Z31" s="10"/>
      <c r="AA31" s="10"/>
      <c r="AB31" s="10"/>
      <c r="AD31" s="122"/>
    </row>
    <row r="32" spans="1:30" s="2" customFormat="1" hidden="1">
      <c r="A32" s="10"/>
      <c r="B32" s="10"/>
      <c r="C32" s="10"/>
      <c r="D32" s="10"/>
      <c r="E32" s="10"/>
      <c r="F32" s="10"/>
      <c r="G32" s="10"/>
      <c r="H32" s="10"/>
      <c r="I32" s="10"/>
      <c r="J32" s="10"/>
      <c r="K32" s="10"/>
      <c r="L32" s="10"/>
      <c r="M32" s="10"/>
      <c r="N32" s="18"/>
      <c r="O32" s="18"/>
      <c r="P32" s="19"/>
      <c r="Q32" s="25"/>
      <c r="R32" s="10"/>
      <c r="S32" s="19">
        <f t="shared" si="4"/>
        <v>0</v>
      </c>
      <c r="T32" s="25">
        <f t="shared" si="6"/>
        <v>0</v>
      </c>
      <c r="U32" s="25">
        <f t="shared" si="5"/>
        <v>0</v>
      </c>
      <c r="V32" s="10"/>
      <c r="W32" s="10"/>
      <c r="X32" s="10"/>
      <c r="Y32" s="10"/>
      <c r="Z32" s="10"/>
      <c r="AA32" s="10"/>
      <c r="AB32" s="10"/>
      <c r="AD32" s="122"/>
    </row>
    <row r="33" spans="1:30" s="2" customFormat="1" hidden="1">
      <c r="A33" s="10"/>
      <c r="B33" s="10"/>
      <c r="C33" s="10"/>
      <c r="D33" s="10"/>
      <c r="E33" s="10"/>
      <c r="F33" s="10"/>
      <c r="G33" s="10"/>
      <c r="H33" s="10"/>
      <c r="I33" s="10"/>
      <c r="J33" s="10"/>
      <c r="K33" s="10"/>
      <c r="L33" s="10"/>
      <c r="M33" s="10"/>
      <c r="N33" s="18"/>
      <c r="O33" s="18"/>
      <c r="P33" s="19"/>
      <c r="Q33" s="25"/>
      <c r="R33" s="10"/>
      <c r="S33" s="19"/>
      <c r="T33" s="25"/>
      <c r="U33" s="25"/>
      <c r="V33" s="10"/>
      <c r="W33" s="10"/>
      <c r="X33" s="10"/>
      <c r="Y33" s="10"/>
      <c r="Z33" s="10"/>
      <c r="AA33" s="10"/>
      <c r="AB33" s="10"/>
      <c r="AD33" s="122"/>
    </row>
    <row r="34" spans="1:30" s="2" customFormat="1" hidden="1">
      <c r="A34" s="10"/>
      <c r="B34" s="10"/>
      <c r="C34" s="10"/>
      <c r="D34" s="10"/>
      <c r="E34" s="10"/>
      <c r="F34" s="10"/>
      <c r="G34" s="10"/>
      <c r="H34" s="10"/>
      <c r="I34" s="10"/>
      <c r="J34" s="10"/>
      <c r="K34" s="10"/>
      <c r="L34" s="10"/>
      <c r="M34" s="10"/>
      <c r="N34" s="18"/>
      <c r="O34" s="18"/>
      <c r="P34" s="19"/>
      <c r="Q34" s="25"/>
      <c r="R34" s="10"/>
      <c r="S34" s="19"/>
      <c r="T34" s="25"/>
      <c r="U34" s="25"/>
      <c r="V34" s="10"/>
      <c r="W34" s="10"/>
      <c r="X34" s="10"/>
      <c r="Y34" s="10"/>
      <c r="Z34" s="10"/>
      <c r="AA34" s="10"/>
      <c r="AB34" s="10"/>
      <c r="AD34" s="122"/>
    </row>
    <row r="35" spans="1:30"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c r="AD35" s="122"/>
    </row>
    <row r="36" spans="1:30"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c r="AD36" s="122"/>
    </row>
    <row r="37" spans="1:30"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c r="AD37" s="122"/>
    </row>
    <row r="38" spans="1:30"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c r="AD38" s="122"/>
    </row>
    <row r="39" spans="1:30"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c r="AD39" s="122"/>
    </row>
    <row r="40" spans="1:30"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c r="AD40" s="122"/>
    </row>
    <row r="41" spans="1:30"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c r="AD41" s="122"/>
    </row>
    <row r="42" spans="1:30"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c r="AD42" s="122"/>
    </row>
    <row r="43" spans="1:30"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c r="AD43" s="122"/>
    </row>
    <row r="44" spans="1:30"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c r="AD44" s="122"/>
    </row>
    <row r="45" spans="1:30"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c r="AD45" s="122"/>
    </row>
    <row r="46" spans="1:30"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c r="AD46" s="122"/>
    </row>
    <row r="47" spans="1:30"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c r="AD47" s="122"/>
    </row>
    <row r="48" spans="1:30" s="1" customFormat="1" ht="112" hidden="1">
      <c r="A48" s="9">
        <v>3</v>
      </c>
      <c r="B48" s="9" t="str">
        <f>B26</f>
        <v>成都卡诺普机器人技术股份有限公司</v>
      </c>
      <c r="C48" s="9" t="str">
        <f t="shared" ref="C48:G48" si="7">C26</f>
        <v>成都市市场监督管理局</v>
      </c>
      <c r="D48" s="9" t="str">
        <f t="shared" si="7"/>
        <v>9151010805253547XQ</v>
      </c>
      <c r="E48" s="9" t="str">
        <f t="shared" si="7"/>
        <v>股份有限公司</v>
      </c>
      <c r="F48" s="9" t="str">
        <f t="shared" si="7"/>
        <v>成都市成华区税务局</v>
      </c>
      <c r="G48" s="9" t="str">
        <f t="shared" si="7"/>
        <v>51001488558052502905（中国建设银行股份有限公司成都龙潭支行）</v>
      </c>
      <c r="H48" s="9"/>
      <c r="I48" s="9"/>
      <c r="J48" s="9"/>
      <c r="K48" s="9"/>
      <c r="L48" s="9"/>
      <c r="M48" s="9"/>
      <c r="N48" s="16"/>
      <c r="O48" s="16"/>
      <c r="P48" s="9">
        <f>P50-N48</f>
        <v>0</v>
      </c>
      <c r="Q48" s="22">
        <f>SUM(Q49:Q69)</f>
        <v>0</v>
      </c>
      <c r="R48" s="9"/>
      <c r="S48" s="9"/>
      <c r="T48" s="9">
        <f>SUM(T49:T69)</f>
        <v>0</v>
      </c>
      <c r="U48" s="23">
        <v>3.85E-2</v>
      </c>
      <c r="V48" s="16"/>
      <c r="W48" s="9"/>
      <c r="X48" s="24">
        <v>1.4999999999999999E-2</v>
      </c>
      <c r="Y48" s="9">
        <f>ROUNDUP(IF((O48-N48+1)*K48*X48/365&gt;R48,R48,(O48-N48+1)*K48*X48/365),2)</f>
        <v>0</v>
      </c>
      <c r="Z48" s="10"/>
      <c r="AA48" s="10"/>
      <c r="AB48" s="9" t="s">
        <v>783</v>
      </c>
      <c r="AD48" s="121"/>
    </row>
    <row r="49" spans="1:30"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c r="AD49" s="122"/>
    </row>
    <row r="50" spans="1:30" s="2" customFormat="1" hidden="1">
      <c r="A50" s="10"/>
      <c r="B50" s="10"/>
      <c r="C50" s="10"/>
      <c r="D50" s="10"/>
      <c r="E50" s="10"/>
      <c r="F50" s="10"/>
      <c r="G50" s="10"/>
      <c r="H50" s="10"/>
      <c r="I50" s="10"/>
      <c r="J50" s="10"/>
      <c r="K50" s="10"/>
      <c r="L50" s="10"/>
      <c r="M50" s="10"/>
      <c r="N50" s="18"/>
      <c r="O50" s="18"/>
      <c r="P50" s="19"/>
      <c r="Q50" s="25"/>
      <c r="R50" s="10"/>
      <c r="S50" s="19">
        <f t="shared" ref="S50" si="8">P50</f>
        <v>0</v>
      </c>
      <c r="T50" s="25">
        <f>(S50-S49)*$U$48*$K$48/360</f>
        <v>0</v>
      </c>
      <c r="U50" s="25">
        <f t="shared" ref="U50" si="9">T50-Q50</f>
        <v>0</v>
      </c>
      <c r="V50" s="10"/>
      <c r="W50" s="10"/>
      <c r="X50" s="10"/>
      <c r="Y50" s="10"/>
      <c r="Z50" s="10"/>
      <c r="AA50" s="10"/>
      <c r="AB50" s="10"/>
      <c r="AD50" s="122"/>
    </row>
    <row r="51" spans="1:30"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c r="AD51" s="122"/>
    </row>
    <row r="52" spans="1:30"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c r="AD52" s="122"/>
    </row>
    <row r="53" spans="1:30"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c r="AD53" s="122"/>
    </row>
    <row r="54" spans="1:30"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c r="AD54" s="122"/>
    </row>
    <row r="55" spans="1:30"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c r="AD55" s="122"/>
    </row>
    <row r="56" spans="1:30"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c r="AD56" s="122"/>
    </row>
    <row r="57" spans="1:30"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c r="AD57" s="122"/>
    </row>
    <row r="58" spans="1:30"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c r="AD58" s="122"/>
    </row>
    <row r="59" spans="1:30"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c r="AD59" s="122"/>
    </row>
    <row r="60" spans="1:30"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c r="AD60" s="122"/>
    </row>
    <row r="61" spans="1:30"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c r="AD61" s="122"/>
    </row>
    <row r="62" spans="1:30"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c r="AD62" s="122"/>
    </row>
    <row r="63" spans="1:30"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c r="AD63" s="122"/>
    </row>
    <row r="64" spans="1:30"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c r="AD64" s="122"/>
    </row>
    <row r="65" spans="1:30"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c r="AD65" s="122"/>
    </row>
    <row r="66" spans="1:30"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c r="AD66" s="122"/>
    </row>
    <row r="67" spans="1:30"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c r="AD67" s="122"/>
    </row>
    <row r="68" spans="1:30"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c r="AD68" s="122"/>
    </row>
    <row r="69" spans="1:30"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c r="AD69" s="122"/>
    </row>
    <row r="70" spans="1:30" s="1" customFormat="1" ht="112" hidden="1">
      <c r="A70" s="9">
        <v>4</v>
      </c>
      <c r="B70" s="9" t="str">
        <f>B48</f>
        <v>成都卡诺普机器人技术股份有限公司</v>
      </c>
      <c r="C70" s="9" t="str">
        <f t="shared" ref="C70:G70" si="10">C48</f>
        <v>成都市市场监督管理局</v>
      </c>
      <c r="D70" s="9" t="str">
        <f t="shared" si="10"/>
        <v>9151010805253547XQ</v>
      </c>
      <c r="E70" s="9" t="str">
        <f t="shared" si="10"/>
        <v>股份有限公司</v>
      </c>
      <c r="F70" s="9" t="str">
        <f t="shared" si="10"/>
        <v>成都市成华区税务局</v>
      </c>
      <c r="G70" s="9" t="str">
        <f t="shared" si="10"/>
        <v>51001488558052502905（中国建设银行股份有限公司成都龙潭支行）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c r="AD70" s="121"/>
    </row>
    <row r="71" spans="1:30"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c r="AD71" s="122"/>
    </row>
    <row r="72" spans="1:30"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c r="AD72" s="122"/>
    </row>
    <row r="73" spans="1:30"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c r="AD73" s="122"/>
    </row>
    <row r="74" spans="1:30"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c r="AD74" s="122"/>
    </row>
    <row r="75" spans="1:30"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c r="AD75" s="122"/>
    </row>
    <row r="76" spans="1:30"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c r="AD76" s="122"/>
    </row>
    <row r="77" spans="1:30"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c r="AD77" s="122"/>
    </row>
    <row r="78" spans="1:30"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c r="AD78" s="122"/>
    </row>
    <row r="79" spans="1:30"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c r="AD79" s="122"/>
    </row>
    <row r="80" spans="1:30"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c r="AD80" s="122"/>
    </row>
    <row r="81" spans="1:30"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c r="AD81" s="122"/>
    </row>
    <row r="82" spans="1:30"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c r="AD82" s="122"/>
    </row>
    <row r="83" spans="1:30"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c r="AD83" s="122"/>
    </row>
    <row r="84" spans="1:30"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c r="AD84" s="122"/>
    </row>
    <row r="85" spans="1:30"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c r="AD85" s="122"/>
    </row>
    <row r="86" spans="1:30"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c r="AD86" s="122"/>
    </row>
    <row r="87" spans="1:30"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c r="AD87" s="122"/>
    </row>
    <row r="88" spans="1:30"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c r="AD88" s="122"/>
    </row>
    <row r="89" spans="1:30"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c r="AD89" s="122"/>
    </row>
    <row r="90" spans="1:30"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c r="AD90" s="122"/>
    </row>
    <row r="91" spans="1:30"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c r="AD91" s="122"/>
    </row>
    <row r="92" spans="1:30" s="1" customFormat="1" ht="112" hidden="1">
      <c r="A92" s="9">
        <v>5</v>
      </c>
      <c r="B92" s="9" t="str">
        <f>B70</f>
        <v>成都卡诺普机器人技术股份有限公司</v>
      </c>
      <c r="C92" s="9" t="str">
        <f t="shared" ref="C92:G92" si="11">C70</f>
        <v>成都市市场监督管理局</v>
      </c>
      <c r="D92" s="9" t="str">
        <f t="shared" si="11"/>
        <v>9151010805253547XQ</v>
      </c>
      <c r="E92" s="9" t="str">
        <f t="shared" si="11"/>
        <v>股份有限公司</v>
      </c>
      <c r="F92" s="9" t="str">
        <f t="shared" si="11"/>
        <v>成都市成华区税务局</v>
      </c>
      <c r="G92" s="9" t="str">
        <f t="shared" si="11"/>
        <v>51001488558052502905（中国建设银行股份有限公司成都龙潭支行）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c r="AD92" s="121"/>
    </row>
    <row r="93" spans="1:30"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c r="AD93" s="122"/>
    </row>
    <row r="94" spans="1:30"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c r="AD94" s="122"/>
    </row>
    <row r="95" spans="1:30"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c r="AD95" s="122"/>
    </row>
    <row r="96" spans="1:30"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c r="AD96" s="122"/>
    </row>
    <row r="97" spans="1:30"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c r="AD97" s="122"/>
    </row>
    <row r="98" spans="1:30"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c r="AD98" s="122"/>
    </row>
    <row r="99" spans="1:30"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c r="AD99" s="122"/>
    </row>
    <row r="100" spans="1:30"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c r="AD100" s="122"/>
    </row>
    <row r="101" spans="1:30"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c r="AD101" s="122"/>
    </row>
    <row r="102" spans="1:30"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c r="AD102" s="122"/>
    </row>
    <row r="103" spans="1:30"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c r="AD103" s="122"/>
    </row>
    <row r="104" spans="1:30"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c r="AD104" s="122"/>
    </row>
    <row r="105" spans="1:30"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c r="AD105" s="122"/>
    </row>
    <row r="106" spans="1:30"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c r="AD106" s="122"/>
    </row>
    <row r="107" spans="1:30"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c r="AD107" s="122"/>
    </row>
    <row r="108" spans="1:30"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c r="AD108" s="122"/>
    </row>
    <row r="109" spans="1:30"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c r="AD109" s="122"/>
    </row>
    <row r="110" spans="1:30"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c r="AD110" s="122"/>
    </row>
    <row r="111" spans="1:30"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c r="AD111" s="122"/>
    </row>
    <row r="112" spans="1:30"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c r="AD112" s="122"/>
    </row>
    <row r="113" spans="1:30"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c r="AD113" s="122"/>
    </row>
    <row r="114" spans="1:30" s="1" customFormat="1">
      <c r="A114" s="9" t="s">
        <v>48</v>
      </c>
      <c r="B114" s="9"/>
      <c r="C114" s="9"/>
      <c r="D114" s="9"/>
      <c r="E114" s="9"/>
      <c r="F114" s="9"/>
      <c r="G114" s="9"/>
      <c r="H114" s="9"/>
      <c r="I114" s="9"/>
      <c r="J114" s="9"/>
      <c r="K114" s="9">
        <f>K92+K70+K48+K26++K4</f>
        <v>1000</v>
      </c>
      <c r="L114" s="9"/>
      <c r="M114" s="9"/>
      <c r="N114" s="16"/>
      <c r="O114" s="16"/>
      <c r="P114" s="9"/>
      <c r="Q114" s="9"/>
      <c r="R114" s="9">
        <f>R92+R70+R48+R26++R4</f>
        <v>6.29</v>
      </c>
      <c r="S114" s="9"/>
      <c r="T114" s="9"/>
      <c r="U114" s="9"/>
      <c r="V114" s="9"/>
      <c r="W114" s="9"/>
      <c r="X114" s="9"/>
      <c r="Y114" s="9">
        <f>Y92+Y70+Y48+Y26++Y4</f>
        <v>0</v>
      </c>
      <c r="Z114" s="9"/>
      <c r="AA114" s="9"/>
      <c r="AB114" s="9"/>
      <c r="AD114" s="121"/>
    </row>
    <row r="115" spans="1:30">
      <c r="I115" t="s">
        <v>49</v>
      </c>
      <c r="K115">
        <f>IF(K114&gt;3000,K116,K114)</f>
        <v>1000</v>
      </c>
    </row>
    <row r="116" spans="1:30" hidden="1">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D116"/>
  <sheetViews>
    <sheetView topLeftCell="K1" zoomScale="80" zoomScaleNormal="80" workbookViewId="0">
      <pane ySplit="3" topLeftCell="A4" activePane="bottomLeft" state="frozen"/>
      <selection pane="bottomLeft" activeCell="B4" sqref="B4:AB26"/>
    </sheetView>
  </sheetViews>
  <sheetFormatPr defaultColWidth="9" defaultRowHeight="14"/>
  <cols>
    <col min="7" max="7" width="9" hidden="1" customWidth="1"/>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贝肯能源(成都)有限责任公司审计明细表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595</v>
      </c>
      <c r="C4" s="9" t="s">
        <v>846</v>
      </c>
      <c r="D4" s="9" t="s">
        <v>847</v>
      </c>
      <c r="E4" s="9" t="s">
        <v>146</v>
      </c>
      <c r="F4" s="9" t="s">
        <v>848</v>
      </c>
      <c r="G4" s="9" t="s">
        <v>849</v>
      </c>
      <c r="H4" s="9" t="s">
        <v>71</v>
      </c>
      <c r="I4" s="9" t="s">
        <v>850</v>
      </c>
      <c r="J4" s="9" t="s">
        <v>73</v>
      </c>
      <c r="K4" s="9">
        <v>1000</v>
      </c>
      <c r="L4" s="9" t="s">
        <v>851</v>
      </c>
      <c r="M4" s="119" t="s">
        <v>852</v>
      </c>
      <c r="N4" s="16">
        <v>45152</v>
      </c>
      <c r="O4" s="16">
        <v>45291</v>
      </c>
      <c r="P4" s="9">
        <f>P9-N4</f>
        <v>160</v>
      </c>
      <c r="Q4" s="22">
        <f>SUM(Q5:Q25)</f>
        <v>18.23</v>
      </c>
      <c r="R4" s="22">
        <v>5.75</v>
      </c>
      <c r="S4" s="9"/>
      <c r="T4" s="22">
        <f>SUM(T5:T25)</f>
        <v>18.23</v>
      </c>
      <c r="U4" s="23">
        <v>4.1000000000000002E-2</v>
      </c>
      <c r="V4" s="16"/>
      <c r="W4" s="9" t="s">
        <v>42</v>
      </c>
      <c r="X4" s="24">
        <f>IFERROR(INDEX(#REF!,MATCH('65'!H4,#REF!)),0)</f>
        <v>0</v>
      </c>
      <c r="Y4" s="9">
        <f>ROUNDDOWN(IF((O4-N4+1)*K4*X4/365&gt;R4,R4,(O4-N4+1)*K4*X4/365),2)</f>
        <v>0</v>
      </c>
      <c r="Z4" s="22">
        <f>R4-Y4</f>
        <v>5.75</v>
      </c>
      <c r="AA4" s="22"/>
      <c r="AB4" s="9" t="s">
        <v>61</v>
      </c>
      <c r="AD4" s="28">
        <f>(O4-N4+1)*K4*X4/365</f>
        <v>0</v>
      </c>
    </row>
    <row r="5" spans="1:30" s="2" customFormat="1">
      <c r="A5" s="10"/>
      <c r="B5" s="10"/>
      <c r="C5" s="10"/>
      <c r="D5" s="10"/>
      <c r="E5" s="10"/>
      <c r="F5" s="10"/>
      <c r="G5" s="10"/>
      <c r="H5" s="10"/>
      <c r="I5" s="10"/>
      <c r="J5" s="10"/>
      <c r="K5" s="10"/>
      <c r="L5" s="10"/>
      <c r="M5" s="10"/>
      <c r="N5" s="18"/>
      <c r="O5" s="18">
        <v>45504</v>
      </c>
      <c r="P5" s="19">
        <v>45190</v>
      </c>
      <c r="Q5" s="25">
        <v>4.33</v>
      </c>
      <c r="R5" s="10"/>
      <c r="S5" s="19">
        <f>P5</f>
        <v>45190</v>
      </c>
      <c r="T5" s="25">
        <f>(S5-N4)/360*$U$4*$K$4</f>
        <v>4.33</v>
      </c>
      <c r="U5" s="25">
        <f>T5-Q5</f>
        <v>0</v>
      </c>
      <c r="V5" s="18"/>
      <c r="W5" s="10"/>
      <c r="X5" s="10"/>
      <c r="Y5" s="10"/>
      <c r="Z5" s="10"/>
      <c r="AA5" s="10"/>
      <c r="AB5" s="10"/>
    </row>
    <row r="6" spans="1:30" s="2" customFormat="1">
      <c r="A6" s="10"/>
      <c r="B6" s="10"/>
      <c r="C6" s="10"/>
      <c r="D6" s="10"/>
      <c r="E6" s="10"/>
      <c r="F6" s="10"/>
      <c r="G6" s="10"/>
      <c r="H6" s="10"/>
      <c r="I6" s="10"/>
      <c r="J6" s="10"/>
      <c r="K6" s="10"/>
      <c r="L6" s="10"/>
      <c r="M6" s="10"/>
      <c r="N6" s="18"/>
      <c r="O6" s="18"/>
      <c r="P6" s="19">
        <v>45220</v>
      </c>
      <c r="Q6" s="25">
        <v>3.42</v>
      </c>
      <c r="R6" s="10"/>
      <c r="S6" s="19">
        <f t="shared" ref="S6:S9" si="0">P6</f>
        <v>45220</v>
      </c>
      <c r="T6" s="25">
        <f>(S6-S5)*$K$4*$U$4/360</f>
        <v>3.42</v>
      </c>
      <c r="U6" s="25">
        <f>T6-Q6</f>
        <v>0</v>
      </c>
      <c r="V6" s="10"/>
      <c r="W6" s="10"/>
      <c r="X6" s="10"/>
      <c r="Y6" s="10"/>
      <c r="Z6" s="10"/>
      <c r="AA6" s="10"/>
      <c r="AB6" s="10"/>
    </row>
    <row r="7" spans="1:30" s="2" customFormat="1">
      <c r="A7" s="10"/>
      <c r="B7" s="10"/>
      <c r="C7" s="10"/>
      <c r="D7" s="10"/>
      <c r="E7" s="10"/>
      <c r="F7" s="10"/>
      <c r="G7" s="10"/>
      <c r="H7" s="10"/>
      <c r="I7" s="10"/>
      <c r="J7" s="10"/>
      <c r="K7" s="10"/>
      <c r="L7" s="10"/>
      <c r="M7" s="10"/>
      <c r="N7" s="18"/>
      <c r="O7" s="18"/>
      <c r="P7" s="19">
        <v>45251</v>
      </c>
      <c r="Q7" s="25">
        <v>3.53</v>
      </c>
      <c r="R7" s="10"/>
      <c r="S7" s="19">
        <f t="shared" si="0"/>
        <v>45251</v>
      </c>
      <c r="T7" s="25">
        <f t="shared" ref="T7:T9" si="1">(S7-S6)*$K$4*$U$4/360</f>
        <v>3.53</v>
      </c>
      <c r="U7" s="25">
        <f t="shared" ref="U7:U9" si="2">T7-Q7</f>
        <v>0</v>
      </c>
      <c r="V7" s="10"/>
      <c r="W7" s="10"/>
      <c r="X7" s="10"/>
      <c r="Y7" s="10"/>
      <c r="Z7" s="10"/>
      <c r="AA7" s="10"/>
      <c r="AB7" s="10"/>
    </row>
    <row r="8" spans="1:30" s="2" customFormat="1">
      <c r="A8" s="10"/>
      <c r="B8" s="10"/>
      <c r="C8" s="10"/>
      <c r="D8" s="10"/>
      <c r="E8" s="10"/>
      <c r="F8" s="10"/>
      <c r="G8" s="10"/>
      <c r="H8" s="10"/>
      <c r="I8" s="10"/>
      <c r="J8" s="10"/>
      <c r="K8" s="10"/>
      <c r="L8" s="10"/>
      <c r="M8" s="10"/>
      <c r="N8" s="18"/>
      <c r="O8" s="18"/>
      <c r="P8" s="19">
        <v>45281</v>
      </c>
      <c r="Q8" s="25">
        <v>3.42</v>
      </c>
      <c r="R8" s="10"/>
      <c r="S8" s="19">
        <f t="shared" si="0"/>
        <v>45281</v>
      </c>
      <c r="T8" s="25">
        <f t="shared" si="1"/>
        <v>3.42</v>
      </c>
      <c r="U8" s="25">
        <f t="shared" si="2"/>
        <v>0</v>
      </c>
      <c r="V8" s="10"/>
      <c r="W8" s="10"/>
      <c r="X8" s="10"/>
      <c r="Y8" s="10"/>
      <c r="Z8" s="10"/>
      <c r="AA8" s="10"/>
      <c r="AB8" s="10"/>
    </row>
    <row r="9" spans="1:30" s="2" customFormat="1">
      <c r="A9" s="10"/>
      <c r="B9" s="10"/>
      <c r="C9" s="10"/>
      <c r="D9" s="10"/>
      <c r="E9" s="10"/>
      <c r="F9" s="10"/>
      <c r="G9" s="10"/>
      <c r="H9" s="10"/>
      <c r="I9" s="10"/>
      <c r="J9" s="10"/>
      <c r="K9" s="10"/>
      <c r="L9" s="10"/>
      <c r="M9" s="10"/>
      <c r="N9" s="18"/>
      <c r="O9" s="18"/>
      <c r="P9" s="19">
        <v>45312</v>
      </c>
      <c r="Q9" s="25">
        <v>3.53</v>
      </c>
      <c r="R9" s="10"/>
      <c r="S9" s="19">
        <f t="shared" si="0"/>
        <v>45312</v>
      </c>
      <c r="T9" s="25">
        <f t="shared" si="1"/>
        <v>3.53</v>
      </c>
      <c r="U9" s="25">
        <f t="shared" si="2"/>
        <v>0</v>
      </c>
      <c r="V9" s="10"/>
      <c r="W9" s="10"/>
      <c r="X9" s="10"/>
      <c r="Y9" s="10"/>
      <c r="Z9" s="10"/>
      <c r="AA9" s="10"/>
      <c r="AB9" s="10"/>
    </row>
    <row r="10" spans="1:30" s="2" customFormat="1" hidden="1">
      <c r="A10" s="10"/>
      <c r="B10" s="10"/>
      <c r="C10" s="10"/>
      <c r="D10" s="10"/>
      <c r="E10" s="10"/>
      <c r="F10" s="10"/>
      <c r="G10" s="10"/>
      <c r="H10" s="10"/>
      <c r="I10" s="10"/>
      <c r="J10" s="10"/>
      <c r="K10" s="10"/>
      <c r="L10" s="10"/>
      <c r="M10" s="10"/>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0"/>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0"/>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84" hidden="1">
      <c r="A26" s="9">
        <v>2</v>
      </c>
      <c r="B26" s="9" t="str">
        <f>B4</f>
        <v>贝肯能源(成都)有限责任公司</v>
      </c>
      <c r="C26" s="9" t="str">
        <f t="shared" ref="C26:G26" si="3">C4</f>
        <v>成华市场监督管理局</v>
      </c>
      <c r="D26" s="9" t="str">
        <f t="shared" si="3"/>
        <v>91510108MAACKUEKX5</v>
      </c>
      <c r="E26" s="9" t="str">
        <f t="shared" si="3"/>
        <v>有限责任公司</v>
      </c>
      <c r="F26" s="9" t="str">
        <f t="shared" si="3"/>
        <v>国家金库成都市成华支库</v>
      </c>
      <c r="G26" s="9" t="str">
        <f t="shared" si="3"/>
        <v>1000080004200694（成都农村商业银行机投支行）</v>
      </c>
      <c r="H26" s="9"/>
      <c r="I26" s="9"/>
      <c r="J26" s="9"/>
      <c r="K26" s="9"/>
      <c r="L26" s="9"/>
      <c r="M26" s="9"/>
      <c r="N26" s="16"/>
      <c r="O26" s="16"/>
      <c r="P26" s="9">
        <f>P32-N26</f>
        <v>0</v>
      </c>
      <c r="Q26" s="22">
        <f>SUM(Q27:Q47)</f>
        <v>0</v>
      </c>
      <c r="R26" s="9"/>
      <c r="S26" s="9"/>
      <c r="T26" s="9">
        <f>SUM(T27:T47)</f>
        <v>0</v>
      </c>
      <c r="U26" s="23"/>
      <c r="V26" s="16"/>
      <c r="W26" s="9"/>
      <c r="X26" s="24"/>
      <c r="Y26" s="9">
        <f>ROUNDUP(IF((O26-N26+1)*K26*X26/365&gt;R26,R26,(O26-N26+1)*K26*X26/365),2)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0"/>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0"/>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0"/>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0"/>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0"/>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0"/>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0"/>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0"/>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row>
    <row r="48" spans="1:28" s="1" customFormat="1" ht="84" hidden="1">
      <c r="A48" s="9">
        <v>3</v>
      </c>
      <c r="B48" s="9" t="str">
        <f>B26</f>
        <v>贝肯能源(成都)有限责任公司</v>
      </c>
      <c r="C48" s="9" t="str">
        <f t="shared" ref="C48:G48" si="7">C26</f>
        <v>成华市场监督管理局</v>
      </c>
      <c r="D48" s="9" t="str">
        <f t="shared" si="7"/>
        <v>91510108MAACKUEKX5</v>
      </c>
      <c r="E48" s="9" t="str">
        <f t="shared" si="7"/>
        <v>有限责任公司</v>
      </c>
      <c r="F48" s="9" t="str">
        <f t="shared" si="7"/>
        <v>国家金库成都市成华支库</v>
      </c>
      <c r="G48" s="9" t="str">
        <f t="shared" si="7"/>
        <v>1000080004200694（成都农村商业银行机投支行）</v>
      </c>
      <c r="H48" s="9" t="s">
        <v>65</v>
      </c>
      <c r="I48" s="9" t="s">
        <v>57</v>
      </c>
      <c r="J48" s="9" t="s">
        <v>66</v>
      </c>
      <c r="K48" s="9"/>
      <c r="L48" s="9"/>
      <c r="M48" s="9"/>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0"/>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84" hidden="1">
      <c r="A70" s="9">
        <v>4</v>
      </c>
      <c r="B70" s="9" t="str">
        <f>B48</f>
        <v>贝肯能源(成都)有限责任公司</v>
      </c>
      <c r="C70" s="9" t="str">
        <f t="shared" ref="C70:G70" si="10">C48</f>
        <v>成华市场监督管理局</v>
      </c>
      <c r="D70" s="9" t="str">
        <f t="shared" si="10"/>
        <v>91510108MAACKUEKX5</v>
      </c>
      <c r="E70" s="9" t="str">
        <f t="shared" si="10"/>
        <v>有限责任公司</v>
      </c>
      <c r="F70" s="9" t="str">
        <f t="shared" si="10"/>
        <v>国家金库成都市成华支库</v>
      </c>
      <c r="G70" s="9" t="str">
        <f t="shared" si="10"/>
        <v>1000080004200694（成都农村商业银行机投支行）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84" hidden="1">
      <c r="A92" s="9">
        <v>5</v>
      </c>
      <c r="B92" s="9" t="str">
        <f>B70</f>
        <v>贝肯能源(成都)有限责任公司</v>
      </c>
      <c r="C92" s="9" t="str">
        <f t="shared" ref="C92:G92" si="11">C70</f>
        <v>成华市场监督管理局</v>
      </c>
      <c r="D92" s="9" t="str">
        <f t="shared" si="11"/>
        <v>91510108MAACKUEKX5</v>
      </c>
      <c r="E92" s="9" t="str">
        <f t="shared" si="11"/>
        <v>有限责任公司</v>
      </c>
      <c r="F92" s="9" t="str">
        <f t="shared" si="11"/>
        <v>国家金库成都市成华支库</v>
      </c>
      <c r="G92" s="9" t="str">
        <f t="shared" si="11"/>
        <v>1000080004200694（成都农村商业银行机投支行）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9"/>
      <c r="N114" s="16"/>
      <c r="O114" s="16"/>
      <c r="P114" s="9"/>
      <c r="Q114" s="9"/>
      <c r="R114" s="9">
        <f>R92+R70+R48+R26++R4</f>
        <v>5.75</v>
      </c>
      <c r="S114" s="9"/>
      <c r="T114" s="9"/>
      <c r="U114" s="9"/>
      <c r="V114" s="9"/>
      <c r="W114" s="9"/>
      <c r="X114" s="9"/>
      <c r="Y114" s="9">
        <f>Y92+Y70+Y48+Y26++Y4</f>
        <v>0</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D116"/>
  <sheetViews>
    <sheetView topLeftCell="G1" zoomScale="69" zoomScaleNormal="69" workbookViewId="0">
      <pane ySplit="3" topLeftCell="A4" activePane="bottomLeft" state="frozen"/>
      <selection pane="bottomLeft" activeCell="W5" sqref="W5"/>
    </sheetView>
  </sheetViews>
  <sheetFormatPr defaultColWidth="9" defaultRowHeight="14"/>
  <cols>
    <col min="7" max="7" width="9" customWidth="1"/>
    <col min="14" max="14" width="10.75" style="4" customWidth="1"/>
    <col min="15" max="15" width="11.08203125" style="4" customWidth="1"/>
    <col min="16" max="16" width="9.83203125" customWidth="1"/>
    <col min="19" max="19" width="9.83203125" customWidth="1"/>
    <col min="22" max="22" width="11.5" customWidth="1"/>
    <col min="23" max="24" width="10" customWidth="1"/>
    <col min="25" max="25" width="11.75" customWidth="1"/>
    <col min="29" max="29" width="9" hidden="1" customWidth="1"/>
    <col min="30" max="30" width="11.75" customWidth="1"/>
  </cols>
  <sheetData>
    <row r="1" spans="1:30" ht="25">
      <c r="B1" s="154" t="str">
        <f>B4&amp;AC1</f>
        <v>重庆医药集团四川生物制品有限公司审计明细表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84">
      <c r="A4" s="9">
        <v>1</v>
      </c>
      <c r="B4" s="9" t="s">
        <v>739</v>
      </c>
      <c r="C4" s="9" t="s">
        <v>582</v>
      </c>
      <c r="D4" s="9" t="s">
        <v>853</v>
      </c>
      <c r="E4" s="9" t="s">
        <v>854</v>
      </c>
      <c r="F4" s="9" t="s">
        <v>584</v>
      </c>
      <c r="G4" s="9" t="s">
        <v>855</v>
      </c>
      <c r="H4" s="9" t="s">
        <v>71</v>
      </c>
      <c r="I4" s="9" t="s">
        <v>856</v>
      </c>
      <c r="J4" s="9" t="s">
        <v>73</v>
      </c>
      <c r="K4" s="9">
        <v>600</v>
      </c>
      <c r="L4" s="9" t="s">
        <v>857</v>
      </c>
      <c r="M4" s="9">
        <v>864127</v>
      </c>
      <c r="N4" s="16">
        <v>45006</v>
      </c>
      <c r="O4" s="16">
        <v>45291</v>
      </c>
      <c r="P4" s="9">
        <f>P14-N4</f>
        <v>285</v>
      </c>
      <c r="Q4" s="22">
        <f>SUM(Q5:Q25)</f>
        <v>19.48</v>
      </c>
      <c r="R4" s="22">
        <v>7.05</v>
      </c>
      <c r="S4" s="9"/>
      <c r="T4" s="22">
        <f>SUM(T5:T25)</f>
        <v>19.48</v>
      </c>
      <c r="U4" s="23">
        <v>4.1000000000000002E-2</v>
      </c>
      <c r="V4" s="16"/>
      <c r="W4" s="9" t="s">
        <v>42</v>
      </c>
      <c r="X4" s="24">
        <f>IFERROR(INDEX(#REF!,MATCH('66'!H4,#REF!)),0)</f>
        <v>0</v>
      </c>
      <c r="Y4" s="9">
        <f>ROUNDDOWN(IF((O4-N4+1)*K4*X4/365&gt;R4,R4,(O4-N4+1)*K4*X4/365),2)</f>
        <v>0</v>
      </c>
      <c r="Z4" s="22">
        <f>R4-Y4</f>
        <v>7.05</v>
      </c>
      <c r="AA4" s="22"/>
      <c r="AB4" s="9" t="s">
        <v>61</v>
      </c>
      <c r="AD4" s="28">
        <f>(O4-N4+1)*K4*X4/365</f>
        <v>0</v>
      </c>
    </row>
    <row r="5" spans="1:30" s="2" customFormat="1" ht="28">
      <c r="A5" s="10"/>
      <c r="B5" s="10"/>
      <c r="C5" s="10"/>
      <c r="D5" s="10"/>
      <c r="E5" s="10"/>
      <c r="F5" s="10"/>
      <c r="G5" s="10"/>
      <c r="H5" s="10"/>
      <c r="I5" s="10"/>
      <c r="J5" s="10"/>
      <c r="K5" s="10"/>
      <c r="L5" s="10"/>
      <c r="M5" s="10"/>
      <c r="N5" s="115" t="s">
        <v>858</v>
      </c>
      <c r="O5" s="15">
        <v>45371</v>
      </c>
      <c r="P5" s="19">
        <v>45036</v>
      </c>
      <c r="Q5" s="25">
        <v>2.0499999999999998</v>
      </c>
      <c r="R5" s="10"/>
      <c r="S5" s="19">
        <f>P5</f>
        <v>45036</v>
      </c>
      <c r="T5" s="25">
        <f>(S5-N4)/360*$U$4*$K$4</f>
        <v>2.0499999999999998</v>
      </c>
      <c r="U5" s="25">
        <f>T5-Q5</f>
        <v>0</v>
      </c>
      <c r="V5" s="18">
        <v>45352</v>
      </c>
      <c r="W5" s="116">
        <v>600</v>
      </c>
      <c r="X5" s="18"/>
      <c r="Y5" s="118">
        <f>ROUNDDOWN((V5-N4)*K4*X4/365,2)</f>
        <v>0</v>
      </c>
      <c r="Z5" s="10"/>
      <c r="AA5" s="10"/>
      <c r="AB5" s="10"/>
    </row>
    <row r="6" spans="1:30" s="2" customFormat="1">
      <c r="A6" s="10"/>
      <c r="B6" s="10"/>
      <c r="C6" s="10"/>
      <c r="D6" s="10"/>
      <c r="E6" s="10"/>
      <c r="F6" s="10"/>
      <c r="G6" s="10"/>
      <c r="H6" s="10"/>
      <c r="I6" s="10"/>
      <c r="J6" s="10"/>
      <c r="K6" s="10"/>
      <c r="L6" s="10"/>
      <c r="M6" s="10"/>
      <c r="N6" s="18"/>
      <c r="O6" s="18"/>
      <c r="P6" s="19">
        <v>45066</v>
      </c>
      <c r="Q6" s="25">
        <v>2.0499999999999998</v>
      </c>
      <c r="R6" s="10"/>
      <c r="S6" s="19">
        <f t="shared" ref="S6:S14" si="0">P6</f>
        <v>45066</v>
      </c>
      <c r="T6" s="25">
        <f>(S6-S5)*$K$4*$U$4/360</f>
        <v>2.0499999999999998</v>
      </c>
      <c r="U6" s="25">
        <f>T6-Q6</f>
        <v>0</v>
      </c>
      <c r="V6" s="10"/>
      <c r="W6" s="10"/>
      <c r="X6" s="10"/>
      <c r="Y6" s="118">
        <f>ROUNDDOWN((O4-V5+1)*(K4-W5)*X4/365,2)</f>
        <v>0</v>
      </c>
      <c r="Z6" s="10"/>
      <c r="AA6" s="10"/>
      <c r="AB6" s="10"/>
    </row>
    <row r="7" spans="1:30" s="2" customFormat="1">
      <c r="A7" s="10"/>
      <c r="B7" s="10"/>
      <c r="C7" s="10"/>
      <c r="D7" s="10"/>
      <c r="E7" s="10"/>
      <c r="F7" s="10"/>
      <c r="G7" s="10"/>
      <c r="H7" s="10"/>
      <c r="I7" s="10"/>
      <c r="J7" s="10"/>
      <c r="K7" s="10"/>
      <c r="L7" s="10"/>
      <c r="M7" s="10"/>
      <c r="N7" s="18"/>
      <c r="O7" s="18"/>
      <c r="P7" s="19">
        <v>45097</v>
      </c>
      <c r="Q7" s="25">
        <v>2.12</v>
      </c>
      <c r="R7" s="10"/>
      <c r="S7" s="19">
        <f t="shared" si="0"/>
        <v>45097</v>
      </c>
      <c r="T7" s="25">
        <f t="shared" ref="T7:T14" si="1">(S7-S6)*$K$4*$U$4/360</f>
        <v>2.12</v>
      </c>
      <c r="U7" s="25">
        <f t="shared" ref="U7:U14" si="2">T7-Q7</f>
        <v>0</v>
      </c>
      <c r="V7" s="10"/>
      <c r="W7" s="10"/>
      <c r="X7" s="10"/>
      <c r="Y7" s="10"/>
      <c r="Z7" s="10"/>
      <c r="AA7" s="10"/>
      <c r="AB7" s="10"/>
    </row>
    <row r="8" spans="1:30" s="2" customFormat="1">
      <c r="A8" s="10"/>
      <c r="B8" s="10"/>
      <c r="C8" s="10"/>
      <c r="D8" s="10"/>
      <c r="E8" s="10"/>
      <c r="F8" s="10"/>
      <c r="G8" s="10"/>
      <c r="H8" s="10"/>
      <c r="I8" s="10"/>
      <c r="J8" s="10"/>
      <c r="K8" s="10"/>
      <c r="L8" s="10"/>
      <c r="M8" s="10"/>
      <c r="N8" s="18"/>
      <c r="O8" s="18"/>
      <c r="P8" s="19">
        <v>45127</v>
      </c>
      <c r="Q8" s="25">
        <v>2.0499999999999998</v>
      </c>
      <c r="R8" s="10"/>
      <c r="S8" s="19">
        <f t="shared" si="0"/>
        <v>45127</v>
      </c>
      <c r="T8" s="25">
        <f t="shared" si="1"/>
        <v>2.0499999999999998</v>
      </c>
      <c r="U8" s="25">
        <f t="shared" si="2"/>
        <v>0</v>
      </c>
      <c r="V8" s="10"/>
      <c r="W8" s="10"/>
      <c r="X8" s="10"/>
      <c r="Y8" s="10"/>
      <c r="Z8" s="10"/>
      <c r="AA8" s="10"/>
      <c r="AB8" s="10"/>
    </row>
    <row r="9" spans="1:30" s="2" customFormat="1">
      <c r="A9" s="10"/>
      <c r="B9" s="10"/>
      <c r="C9" s="10"/>
      <c r="D9" s="10"/>
      <c r="E9" s="10"/>
      <c r="F9" s="10"/>
      <c r="G9" s="10"/>
      <c r="H9" s="10"/>
      <c r="I9" s="10"/>
      <c r="J9" s="10"/>
      <c r="K9" s="10"/>
      <c r="L9" s="10"/>
      <c r="M9" s="10"/>
      <c r="N9" s="18"/>
      <c r="O9" s="18"/>
      <c r="P9" s="19">
        <v>45158</v>
      </c>
      <c r="Q9" s="25">
        <v>2.12</v>
      </c>
      <c r="R9" s="10"/>
      <c r="S9" s="19">
        <f t="shared" si="0"/>
        <v>45158</v>
      </c>
      <c r="T9" s="25">
        <f t="shared" si="1"/>
        <v>2.12</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0"/>
      <c r="N10" s="18"/>
      <c r="O10" s="18"/>
      <c r="P10" s="19">
        <v>45189</v>
      </c>
      <c r="Q10" s="25">
        <v>2.12</v>
      </c>
      <c r="R10" s="10"/>
      <c r="S10" s="19">
        <f t="shared" si="0"/>
        <v>45189</v>
      </c>
      <c r="T10" s="25">
        <f t="shared" si="1"/>
        <v>2.12</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0"/>
      <c r="N11" s="18"/>
      <c r="O11" s="18"/>
      <c r="P11" s="19">
        <v>45219</v>
      </c>
      <c r="Q11" s="25">
        <v>2.0499999999999998</v>
      </c>
      <c r="R11" s="10"/>
      <c r="S11" s="19">
        <f t="shared" si="0"/>
        <v>45219</v>
      </c>
      <c r="T11" s="25">
        <f t="shared" si="1"/>
        <v>2.0499999999999998</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0"/>
      <c r="N12" s="18"/>
      <c r="O12" s="18"/>
      <c r="P12" s="19">
        <v>45250</v>
      </c>
      <c r="Q12" s="25">
        <v>2.12</v>
      </c>
      <c r="R12" s="10"/>
      <c r="S12" s="19">
        <f t="shared" si="0"/>
        <v>45250</v>
      </c>
      <c r="T12" s="25">
        <f t="shared" si="1"/>
        <v>2.12</v>
      </c>
      <c r="U12" s="25">
        <f t="shared" si="2"/>
        <v>0</v>
      </c>
      <c r="V12" s="10"/>
      <c r="W12" s="10"/>
      <c r="X12" s="10"/>
      <c r="Y12" s="10"/>
      <c r="Z12" s="10"/>
      <c r="AA12" s="10"/>
      <c r="AB12" s="10"/>
    </row>
    <row r="13" spans="1:30" s="2" customFormat="1">
      <c r="A13" s="10"/>
      <c r="B13" s="10"/>
      <c r="C13" s="10"/>
      <c r="D13" s="10"/>
      <c r="E13" s="10"/>
      <c r="F13" s="10"/>
      <c r="G13" s="10"/>
      <c r="H13" s="10"/>
      <c r="I13" s="10"/>
      <c r="J13" s="10"/>
      <c r="K13" s="10"/>
      <c r="L13" s="10"/>
      <c r="M13" s="10"/>
      <c r="N13" s="18"/>
      <c r="O13" s="18"/>
      <c r="P13" s="19">
        <v>45280</v>
      </c>
      <c r="Q13" s="25">
        <v>2.0499999999999998</v>
      </c>
      <c r="R13" s="10"/>
      <c r="S13" s="19">
        <f t="shared" si="0"/>
        <v>45280</v>
      </c>
      <c r="T13" s="25">
        <f t="shared" si="1"/>
        <v>2.0499999999999998</v>
      </c>
      <c r="U13" s="25">
        <f t="shared" si="2"/>
        <v>0</v>
      </c>
      <c r="V13" s="10"/>
      <c r="W13" s="10"/>
      <c r="X13" s="10"/>
      <c r="Y13" s="10"/>
      <c r="Z13" s="10"/>
      <c r="AA13" s="10"/>
      <c r="AB13" s="10"/>
    </row>
    <row r="14" spans="1:30" s="2" customFormat="1">
      <c r="A14" s="10"/>
      <c r="B14" s="10"/>
      <c r="C14" s="10"/>
      <c r="D14" s="10"/>
      <c r="E14" s="10"/>
      <c r="F14" s="10"/>
      <c r="G14" s="10"/>
      <c r="H14" s="10"/>
      <c r="I14" s="10"/>
      <c r="J14" s="10"/>
      <c r="K14" s="10"/>
      <c r="L14" s="10"/>
      <c r="M14" s="10"/>
      <c r="N14" s="18"/>
      <c r="O14" s="18"/>
      <c r="P14" s="112">
        <v>45291</v>
      </c>
      <c r="Q14" s="117">
        <v>0.75</v>
      </c>
      <c r="R14" s="10"/>
      <c r="S14" s="19">
        <f t="shared" si="0"/>
        <v>45291</v>
      </c>
      <c r="T14" s="25">
        <f t="shared" si="1"/>
        <v>0.75</v>
      </c>
      <c r="U14" s="25">
        <f t="shared" si="2"/>
        <v>0</v>
      </c>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84">
      <c r="A26" s="9">
        <v>2</v>
      </c>
      <c r="B26" s="9" t="str">
        <f>B4</f>
        <v>重庆医药集团四川生物制品有限公司</v>
      </c>
      <c r="C26" s="9" t="str">
        <f t="shared" ref="C26:G26" si="3">C4</f>
        <v>成都市成华区行政审批局</v>
      </c>
      <c r="D26" s="9" t="str">
        <f t="shared" si="3"/>
        <v>915101085773510751</v>
      </c>
      <c r="E26" s="9" t="str">
        <f t="shared" si="3"/>
        <v>国有控股企业</v>
      </c>
      <c r="F26" s="9" t="str">
        <f t="shared" si="3"/>
        <v>成都市成华区税务局</v>
      </c>
      <c r="G26" s="9" t="str">
        <f t="shared" si="3"/>
        <v>1000020007330440(成都农商银行龙潭总部城支行)</v>
      </c>
      <c r="H26" s="9" t="s">
        <v>65</v>
      </c>
      <c r="I26" s="9" t="s">
        <v>856</v>
      </c>
      <c r="J26" s="9" t="s">
        <v>73</v>
      </c>
      <c r="K26" s="9">
        <v>400</v>
      </c>
      <c r="L26" s="9" t="s">
        <v>857</v>
      </c>
      <c r="M26" s="9">
        <v>864130</v>
      </c>
      <c r="N26" s="16">
        <v>45070</v>
      </c>
      <c r="O26" s="16">
        <v>45291</v>
      </c>
      <c r="P26" s="9">
        <f>P32-N26</f>
        <v>180</v>
      </c>
      <c r="Q26" s="22">
        <f>SUM(Q27:Q47)</f>
        <v>10.07</v>
      </c>
      <c r="R26" s="9">
        <v>3.65</v>
      </c>
      <c r="S26" s="9"/>
      <c r="T26" s="9">
        <f>SUM(T27:T47)</f>
        <v>10.07</v>
      </c>
      <c r="U26" s="23">
        <v>4.1000000000000002E-2</v>
      </c>
      <c r="V26" s="16"/>
      <c r="W26" s="9"/>
      <c r="X26" s="24">
        <v>1.4999999999999999E-2</v>
      </c>
      <c r="Y26" s="9">
        <f>ROUNDDOWN(IF((O26-N26+1)*K26*X26/365&gt;R26,R26,(O26-N26+1)*K26*X26/365),2)</f>
        <v>3.64</v>
      </c>
      <c r="Z26" s="9">
        <f>R26-Y26</f>
        <v>9.9999999999997903E-3</v>
      </c>
      <c r="AA26" s="9" t="s">
        <v>43</v>
      </c>
      <c r="AB26" s="9" t="s">
        <v>61</v>
      </c>
      <c r="AD26" s="1">
        <f>(O26-N26+1)*K26*X26/365</f>
        <v>3.6493150684931499</v>
      </c>
    </row>
    <row r="27" spans="1:30" s="2" customFormat="1" ht="28">
      <c r="A27" s="10"/>
      <c r="B27" s="10"/>
      <c r="C27" s="10"/>
      <c r="D27" s="10"/>
      <c r="E27" s="10"/>
      <c r="F27" s="10"/>
      <c r="G27" s="10"/>
      <c r="H27" s="10"/>
      <c r="I27" s="10"/>
      <c r="J27" s="10"/>
      <c r="K27" s="10"/>
      <c r="L27" s="10"/>
      <c r="M27" s="10"/>
      <c r="N27" s="115" t="s">
        <v>858</v>
      </c>
      <c r="O27" s="15">
        <v>45435</v>
      </c>
      <c r="P27" s="19">
        <v>45097</v>
      </c>
      <c r="Q27" s="25">
        <v>1.23</v>
      </c>
      <c r="R27" s="10"/>
      <c r="S27" s="19">
        <f>P27</f>
        <v>45097</v>
      </c>
      <c r="T27" s="25">
        <f>(S27-N26)/360*$U$26*$K$26</f>
        <v>1.23</v>
      </c>
      <c r="U27" s="25">
        <f>T27-Q27</f>
        <v>0</v>
      </c>
      <c r="V27" s="18"/>
      <c r="W27" s="10"/>
      <c r="X27" s="10"/>
      <c r="Y27" s="118"/>
      <c r="Z27" s="10"/>
      <c r="AA27" s="10"/>
      <c r="AB27" s="10"/>
    </row>
    <row r="28" spans="1:30" s="2" customFormat="1">
      <c r="A28" s="10"/>
      <c r="B28" s="10"/>
      <c r="C28" s="10"/>
      <c r="D28" s="10"/>
      <c r="E28" s="10"/>
      <c r="F28" s="10"/>
      <c r="G28" s="10"/>
      <c r="H28" s="10"/>
      <c r="I28" s="10"/>
      <c r="J28" s="10"/>
      <c r="K28" s="10"/>
      <c r="L28" s="10"/>
      <c r="M28" s="10"/>
      <c r="N28" s="18"/>
      <c r="O28" s="18"/>
      <c r="P28" s="19">
        <v>45127</v>
      </c>
      <c r="Q28" s="25">
        <v>1.37</v>
      </c>
      <c r="R28" s="10"/>
      <c r="S28" s="19">
        <f t="shared" ref="S28:S34" si="4">P28</f>
        <v>45127</v>
      </c>
      <c r="T28" s="25">
        <f>(S28-S27)*$U$26*$K$26/360</f>
        <v>1.37</v>
      </c>
      <c r="U28" s="25">
        <f t="shared" ref="U28:U34" si="5">T28-Q28</f>
        <v>0</v>
      </c>
      <c r="V28" s="10"/>
      <c r="W28" s="10"/>
      <c r="X28" s="10"/>
      <c r="Y28" s="118"/>
      <c r="Z28" s="10"/>
      <c r="AA28" s="10"/>
      <c r="AB28" s="10"/>
    </row>
    <row r="29" spans="1:30" s="2" customFormat="1">
      <c r="A29" s="10"/>
      <c r="B29" s="10"/>
      <c r="C29" s="10"/>
      <c r="D29" s="10"/>
      <c r="E29" s="10"/>
      <c r="F29" s="10"/>
      <c r="G29" s="10"/>
      <c r="H29" s="10"/>
      <c r="I29" s="10"/>
      <c r="J29" s="10"/>
      <c r="K29" s="10"/>
      <c r="L29" s="10"/>
      <c r="M29" s="10"/>
      <c r="N29" s="18"/>
      <c r="O29" s="18"/>
      <c r="P29" s="19">
        <v>45158</v>
      </c>
      <c r="Q29" s="25">
        <v>1.41</v>
      </c>
      <c r="R29" s="10"/>
      <c r="S29" s="19">
        <f t="shared" si="4"/>
        <v>45158</v>
      </c>
      <c r="T29" s="25">
        <f t="shared" ref="T29:T34" si="6">(S29-S28)*$U$26*$K$26/360</f>
        <v>1.41</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0"/>
      <c r="N30" s="18"/>
      <c r="O30" s="18"/>
      <c r="P30" s="19">
        <v>45189</v>
      </c>
      <c r="Q30" s="25">
        <v>1.41</v>
      </c>
      <c r="R30" s="10"/>
      <c r="S30" s="19">
        <f t="shared" si="4"/>
        <v>45189</v>
      </c>
      <c r="T30" s="25">
        <f t="shared" si="6"/>
        <v>1.41</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0"/>
      <c r="N31" s="18"/>
      <c r="O31" s="18"/>
      <c r="P31" s="19">
        <v>45219</v>
      </c>
      <c r="Q31" s="25">
        <v>1.37</v>
      </c>
      <c r="R31" s="10"/>
      <c r="S31" s="19">
        <f t="shared" si="4"/>
        <v>45219</v>
      </c>
      <c r="T31" s="25">
        <f t="shared" si="6"/>
        <v>1.37</v>
      </c>
      <c r="U31" s="25">
        <f t="shared" si="5"/>
        <v>0</v>
      </c>
      <c r="V31" s="10"/>
      <c r="W31" s="10"/>
      <c r="X31" s="10"/>
      <c r="Y31" s="10"/>
      <c r="Z31" s="10"/>
      <c r="AA31" s="10"/>
      <c r="AB31" s="10"/>
    </row>
    <row r="32" spans="1:30" s="2" customFormat="1">
      <c r="A32" s="10"/>
      <c r="B32" s="10"/>
      <c r="C32" s="10"/>
      <c r="D32" s="10"/>
      <c r="E32" s="10"/>
      <c r="F32" s="10"/>
      <c r="G32" s="10"/>
      <c r="H32" s="10"/>
      <c r="I32" s="10"/>
      <c r="J32" s="10"/>
      <c r="K32" s="10"/>
      <c r="L32" s="10"/>
      <c r="M32" s="10"/>
      <c r="N32" s="18"/>
      <c r="O32" s="18"/>
      <c r="P32" s="19">
        <v>45250</v>
      </c>
      <c r="Q32" s="25">
        <v>1.41</v>
      </c>
      <c r="R32" s="10"/>
      <c r="S32" s="19">
        <f t="shared" si="4"/>
        <v>45250</v>
      </c>
      <c r="T32" s="25">
        <f t="shared" si="6"/>
        <v>1.41</v>
      </c>
      <c r="U32" s="25">
        <f t="shared" si="5"/>
        <v>0</v>
      </c>
      <c r="V32" s="10"/>
      <c r="W32" s="10"/>
      <c r="X32" s="10"/>
      <c r="Y32" s="10"/>
      <c r="Z32" s="10"/>
      <c r="AA32" s="10"/>
      <c r="AB32" s="10"/>
    </row>
    <row r="33" spans="1:28" s="2" customFormat="1">
      <c r="A33" s="10"/>
      <c r="B33" s="10"/>
      <c r="C33" s="10"/>
      <c r="D33" s="10"/>
      <c r="E33" s="10"/>
      <c r="F33" s="10"/>
      <c r="G33" s="10"/>
      <c r="H33" s="10"/>
      <c r="I33" s="10"/>
      <c r="J33" s="10"/>
      <c r="K33" s="10"/>
      <c r="L33" s="10"/>
      <c r="M33" s="10"/>
      <c r="N33" s="18"/>
      <c r="O33" s="18"/>
      <c r="P33" s="19">
        <v>45280</v>
      </c>
      <c r="Q33" s="25">
        <v>1.37</v>
      </c>
      <c r="R33" s="10"/>
      <c r="S33" s="19">
        <f t="shared" si="4"/>
        <v>45280</v>
      </c>
      <c r="T33" s="25">
        <f t="shared" si="6"/>
        <v>1.37</v>
      </c>
      <c r="U33" s="25">
        <f t="shared" si="5"/>
        <v>0</v>
      </c>
      <c r="V33" s="10"/>
      <c r="W33" s="10"/>
      <c r="X33" s="10"/>
      <c r="Y33" s="10"/>
      <c r="Z33" s="10"/>
      <c r="AA33" s="10"/>
      <c r="AB33" s="10"/>
    </row>
    <row r="34" spans="1:28" s="2" customFormat="1">
      <c r="A34" s="10"/>
      <c r="B34" s="10"/>
      <c r="C34" s="10"/>
      <c r="D34" s="10"/>
      <c r="E34" s="10"/>
      <c r="F34" s="10"/>
      <c r="G34" s="10"/>
      <c r="H34" s="10"/>
      <c r="I34" s="10"/>
      <c r="J34" s="10"/>
      <c r="K34" s="10"/>
      <c r="L34" s="10"/>
      <c r="M34" s="10"/>
      <c r="N34" s="18"/>
      <c r="O34" s="18"/>
      <c r="P34" s="112">
        <v>45291</v>
      </c>
      <c r="Q34" s="117">
        <v>0.5</v>
      </c>
      <c r="R34" s="10"/>
      <c r="S34" s="19">
        <f t="shared" si="4"/>
        <v>45291</v>
      </c>
      <c r="T34" s="25">
        <f t="shared" si="6"/>
        <v>0.5</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row>
    <row r="48" spans="1:28" s="1" customFormat="1" ht="84" hidden="1">
      <c r="A48" s="9">
        <v>3</v>
      </c>
      <c r="B48" s="9" t="str">
        <f>B26</f>
        <v>重庆医药集团四川生物制品有限公司</v>
      </c>
      <c r="C48" s="9" t="str">
        <f t="shared" ref="C48:G48" si="7">C26</f>
        <v>成都市成华区行政审批局</v>
      </c>
      <c r="D48" s="9" t="str">
        <f t="shared" si="7"/>
        <v>915101085773510751</v>
      </c>
      <c r="E48" s="9" t="str">
        <f t="shared" si="7"/>
        <v>国有控股企业</v>
      </c>
      <c r="F48" s="9" t="str">
        <f t="shared" si="7"/>
        <v>成都市成华区税务局</v>
      </c>
      <c r="G48" s="9" t="str">
        <f t="shared" si="7"/>
        <v>1000020007330440(成都农商银行龙潭总部城支行)</v>
      </c>
      <c r="H48" s="9" t="s">
        <v>65</v>
      </c>
      <c r="I48" s="9" t="s">
        <v>57</v>
      </c>
      <c r="J48" s="9" t="s">
        <v>66</v>
      </c>
      <c r="K48" s="9"/>
      <c r="L48" s="9"/>
      <c r="M48" s="9"/>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0"/>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84" hidden="1">
      <c r="A70" s="9">
        <v>4</v>
      </c>
      <c r="B70" s="9" t="str">
        <f>B48</f>
        <v>重庆医药集团四川生物制品有限公司</v>
      </c>
      <c r="C70" s="9" t="str">
        <f t="shared" ref="C70:G70" si="10">C48</f>
        <v>成都市成华区行政审批局</v>
      </c>
      <c r="D70" s="9" t="str">
        <f t="shared" si="10"/>
        <v>915101085773510751</v>
      </c>
      <c r="E70" s="9" t="str">
        <f t="shared" si="10"/>
        <v>国有控股企业</v>
      </c>
      <c r="F70" s="9" t="str">
        <f t="shared" si="10"/>
        <v>成都市成华区税务局</v>
      </c>
      <c r="G70" s="9" t="str">
        <f t="shared" si="10"/>
        <v>1000020007330440(成都农商银行龙潭总部城支行)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84" hidden="1">
      <c r="A92" s="9">
        <v>5</v>
      </c>
      <c r="B92" s="9" t="str">
        <f>B70</f>
        <v>重庆医药集团四川生物制品有限公司</v>
      </c>
      <c r="C92" s="9" t="str">
        <f t="shared" ref="C92:G92" si="11">C70</f>
        <v>成都市成华区行政审批局</v>
      </c>
      <c r="D92" s="9" t="str">
        <f t="shared" si="11"/>
        <v>915101085773510751</v>
      </c>
      <c r="E92" s="9" t="str">
        <f t="shared" si="11"/>
        <v>国有控股企业</v>
      </c>
      <c r="F92" s="9" t="str">
        <f t="shared" si="11"/>
        <v>成都市成华区税务局</v>
      </c>
      <c r="G92" s="9" t="str">
        <f t="shared" si="11"/>
        <v>1000020007330440(成都农商银行龙潭总部城支行)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9"/>
      <c r="N114" s="16"/>
      <c r="O114" s="16"/>
      <c r="P114" s="9"/>
      <c r="Q114" s="9"/>
      <c r="R114" s="9">
        <f>R92+R70+R48+R26++R4</f>
        <v>10.7</v>
      </c>
      <c r="S114" s="9"/>
      <c r="T114" s="9"/>
      <c r="U114" s="9"/>
      <c r="V114" s="9"/>
      <c r="W114" s="9"/>
      <c r="X114" s="9"/>
      <c r="Y114" s="9">
        <f>Y92+Y70+Y48+Y26++Y4</f>
        <v>3.64</v>
      </c>
      <c r="Z114" s="9"/>
      <c r="AA114" s="9"/>
      <c r="AB114" s="9"/>
    </row>
    <row r="115" spans="1:28">
      <c r="I115" t="s">
        <v>49</v>
      </c>
      <c r="K115">
        <f>IF(K114&gt;3000,K116,K114)</f>
        <v>1000</v>
      </c>
    </row>
    <row r="116" spans="1:28">
      <c r="K116" t="s">
        <v>50</v>
      </c>
    </row>
  </sheetData>
  <autoFilter ref="A3:AD14" xr:uid="{00000000-0009-0000-0000-00004E000000}"/>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16"/>
  <sheetViews>
    <sheetView topLeftCell="H1" zoomScale="70" zoomScaleNormal="70" workbookViewId="0">
      <pane ySplit="3" topLeftCell="A4" activePane="bottomLeft" state="frozen"/>
      <selection pane="bottomLeft" activeCell="R26" sqref="R26"/>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成都前锋电子有限责任公司审计明细表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98">
      <c r="A4" s="9">
        <v>1</v>
      </c>
      <c r="B4" s="9" t="s">
        <v>120</v>
      </c>
      <c r="C4" s="9" t="s">
        <v>32</v>
      </c>
      <c r="D4" s="9">
        <v>9.1510100725363802E+17</v>
      </c>
      <c r="E4" s="9" t="s">
        <v>121</v>
      </c>
      <c r="F4" s="9" t="s">
        <v>35</v>
      </c>
      <c r="G4" s="9" t="s">
        <v>122</v>
      </c>
      <c r="H4" s="9" t="s">
        <v>71</v>
      </c>
      <c r="I4" s="9" t="s">
        <v>123</v>
      </c>
      <c r="J4" s="9" t="s">
        <v>73</v>
      </c>
      <c r="K4" s="9">
        <v>1000</v>
      </c>
      <c r="L4" s="9" t="s">
        <v>124</v>
      </c>
      <c r="M4" s="20" t="s">
        <v>125</v>
      </c>
      <c r="N4" s="15">
        <v>45054</v>
      </c>
      <c r="O4" s="16">
        <v>45291</v>
      </c>
      <c r="P4" s="9">
        <f>P12-N4</f>
        <v>258</v>
      </c>
      <c r="Q4" s="22">
        <f>SUM(Q5:Q25)</f>
        <v>28.64</v>
      </c>
      <c r="R4" s="22">
        <v>9.86</v>
      </c>
      <c r="S4" s="9"/>
      <c r="T4" s="22">
        <f>SUM(T5:T25)</f>
        <v>28.64</v>
      </c>
      <c r="U4" s="23">
        <v>0.04</v>
      </c>
      <c r="V4" s="16"/>
      <c r="W4" s="9" t="s">
        <v>42</v>
      </c>
      <c r="X4" s="24">
        <v>1.4999999999999999E-2</v>
      </c>
      <c r="Y4" s="9">
        <f>ROUNDDOWN(IF((O4-N4+1)*K4*X4/365&gt;R4,R4,(O4-N4+1)*K4*X4/365),2)</f>
        <v>9.7799999999999994</v>
      </c>
      <c r="Z4" s="22">
        <f>R4-Y4</f>
        <v>0.08</v>
      </c>
      <c r="AA4" s="22" t="s">
        <v>126</v>
      </c>
      <c r="AB4" s="9" t="s">
        <v>61</v>
      </c>
      <c r="AD4" s="28">
        <f>(O4-N4+1)*K4*X4/365</f>
        <v>9.7807999999999993</v>
      </c>
    </row>
    <row r="5" spans="1:30" s="2" customFormat="1">
      <c r="A5" s="10"/>
      <c r="B5" s="10"/>
      <c r="C5" s="10"/>
      <c r="D5" s="10"/>
      <c r="E5" s="10"/>
      <c r="F5" s="10"/>
      <c r="G5" s="10"/>
      <c r="H5" s="10"/>
      <c r="I5" s="10"/>
      <c r="J5" s="10"/>
      <c r="K5" s="10"/>
      <c r="L5" s="10"/>
      <c r="M5" s="17"/>
      <c r="N5" s="18"/>
      <c r="O5" s="16">
        <v>45417</v>
      </c>
      <c r="P5" s="19">
        <v>45098</v>
      </c>
      <c r="Q5" s="25">
        <v>4.8899999999999997</v>
      </c>
      <c r="R5" s="10"/>
      <c r="S5" s="19">
        <f>P5</f>
        <v>45098</v>
      </c>
      <c r="T5" s="25">
        <f>(S5-N4)/360*$U$4*$K$4</f>
        <v>4.8899999999999997</v>
      </c>
      <c r="U5" s="25">
        <f>T5-Q5</f>
        <v>0</v>
      </c>
      <c r="V5" s="18"/>
      <c r="W5" s="10"/>
      <c r="X5" s="10"/>
      <c r="Y5" s="10">
        <f>ROUNDDOWN((V5-N4)*K4*X4/365,2)</f>
        <v>-1851.53</v>
      </c>
      <c r="Z5" s="10"/>
      <c r="AA5" s="10"/>
      <c r="AB5" s="10"/>
    </row>
    <row r="6" spans="1:30" s="2" customFormat="1">
      <c r="A6" s="10"/>
      <c r="B6" s="10"/>
      <c r="C6" s="10"/>
      <c r="D6" s="10"/>
      <c r="E6" s="10"/>
      <c r="F6" s="10"/>
      <c r="G6" s="10"/>
      <c r="H6" s="10"/>
      <c r="I6" s="10"/>
      <c r="J6" s="10"/>
      <c r="K6" s="10"/>
      <c r="L6" s="10"/>
      <c r="M6" s="17"/>
      <c r="N6" s="18"/>
      <c r="O6" s="18"/>
      <c r="P6" s="19">
        <v>45128</v>
      </c>
      <c r="Q6" s="25">
        <v>3.33</v>
      </c>
      <c r="R6" s="10"/>
      <c r="S6" s="19">
        <f t="shared" ref="S6:S12" si="0">P6</f>
        <v>45128</v>
      </c>
      <c r="T6" s="25">
        <f>(S6-S5)*$K$4*$U$4/360</f>
        <v>3.33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45159</v>
      </c>
      <c r="Q7" s="25">
        <v>3.44</v>
      </c>
      <c r="R7" s="10"/>
      <c r="S7" s="19">
        <f t="shared" si="0"/>
        <v>45159</v>
      </c>
      <c r="T7" s="25">
        <f t="shared" ref="T7:T12" si="1">(S7-S6)*$K$4*$U$4/360</f>
        <v>3.44</v>
      </c>
      <c r="U7" s="25">
        <f t="shared" ref="U7:U12"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45190</v>
      </c>
      <c r="Q8" s="25">
        <v>3.44</v>
      </c>
      <c r="R8" s="10"/>
      <c r="S8" s="19">
        <f t="shared" si="0"/>
        <v>45190</v>
      </c>
      <c r="T8" s="25">
        <f t="shared" si="1"/>
        <v>3.44</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45220</v>
      </c>
      <c r="Q9" s="25">
        <v>3.33</v>
      </c>
      <c r="R9" s="10"/>
      <c r="S9" s="19">
        <f t="shared" si="0"/>
        <v>45220</v>
      </c>
      <c r="T9" s="25">
        <f t="shared" si="1"/>
        <v>3.33</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7"/>
      <c r="N10" s="18"/>
      <c r="O10" s="18"/>
      <c r="P10" s="19">
        <v>45251</v>
      </c>
      <c r="Q10" s="25">
        <v>3.44</v>
      </c>
      <c r="R10" s="10"/>
      <c r="S10" s="19">
        <f t="shared" si="0"/>
        <v>45251</v>
      </c>
      <c r="T10" s="25">
        <f t="shared" si="1"/>
        <v>3.44</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7"/>
      <c r="N11" s="18"/>
      <c r="O11" s="18"/>
      <c r="P11" s="19">
        <v>45281</v>
      </c>
      <c r="Q11" s="25">
        <v>3.33</v>
      </c>
      <c r="R11" s="10"/>
      <c r="S11" s="19">
        <f t="shared" si="0"/>
        <v>45281</v>
      </c>
      <c r="T11" s="25">
        <f t="shared" si="1"/>
        <v>3.33</v>
      </c>
      <c r="U11" s="25">
        <f t="shared" si="2"/>
        <v>0</v>
      </c>
      <c r="V11" s="10"/>
      <c r="W11" s="10"/>
      <c r="X11" s="10"/>
      <c r="Y11" s="10"/>
      <c r="Z11" s="10"/>
      <c r="AA11" s="10"/>
      <c r="AB11" s="10"/>
    </row>
    <row r="12" spans="1:30" s="2" customFormat="1">
      <c r="A12" s="10"/>
      <c r="B12" s="10"/>
      <c r="C12" s="10"/>
      <c r="D12" s="10"/>
      <c r="E12" s="10"/>
      <c r="F12" s="10"/>
      <c r="G12" s="10"/>
      <c r="H12" s="10"/>
      <c r="I12" s="10"/>
      <c r="J12" s="10"/>
      <c r="K12" s="10"/>
      <c r="L12" s="10"/>
      <c r="M12" s="17"/>
      <c r="N12" s="18"/>
      <c r="O12" s="18"/>
      <c r="P12" s="19">
        <v>45312</v>
      </c>
      <c r="Q12" s="25">
        <v>3.44</v>
      </c>
      <c r="R12" s="10"/>
      <c r="S12" s="19">
        <f t="shared" si="0"/>
        <v>45312</v>
      </c>
      <c r="T12" s="25">
        <f t="shared" si="1"/>
        <v>3.44</v>
      </c>
      <c r="U12" s="25">
        <f t="shared" si="2"/>
        <v>0</v>
      </c>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46.5" hidden="1" customHeight="1">
      <c r="A26" s="9">
        <v>2</v>
      </c>
      <c r="B26" s="9" t="str">
        <f>B4</f>
        <v>成都前锋电子有限责任公司</v>
      </c>
      <c r="C26" s="9" t="str">
        <f t="shared" ref="C26:G26" si="3">C4</f>
        <v>成都高新技术产业开发区市场监督管理局</v>
      </c>
      <c r="D26" s="9">
        <f t="shared" si="3"/>
        <v>9.1510100725363802E+17</v>
      </c>
      <c r="E26" s="9" t="str">
        <f t="shared" si="3"/>
        <v>其他有限责任公司</v>
      </c>
      <c r="F26" s="9" t="str">
        <f t="shared" si="3"/>
        <v>国家税务总局成都高新技术产业开发区税务局</v>
      </c>
      <c r="G26" s="9" t="str">
        <f t="shared" si="3"/>
        <v>2010150134080016258上海浦东发展银行股份有限公司成都分行</v>
      </c>
      <c r="H26" s="9"/>
      <c r="I26" s="9"/>
      <c r="J26" s="9"/>
      <c r="K26" s="9"/>
      <c r="L26" s="9"/>
      <c r="M26" s="20"/>
      <c r="N26" s="16"/>
      <c r="O26" s="16"/>
      <c r="P26" s="9">
        <f>P44-N26</f>
        <v>0</v>
      </c>
      <c r="Q26" s="22">
        <f>SUM(Q27:Q47)</f>
        <v>0</v>
      </c>
      <c r="R26" s="9"/>
      <c r="S26" s="9"/>
      <c r="T26" s="9">
        <f>SUM(T27:T47)</f>
        <v>0</v>
      </c>
      <c r="U26" s="23"/>
      <c r="V26" s="16"/>
      <c r="W26" s="9"/>
      <c r="X26" s="24"/>
      <c r="Y26" s="9">
        <f>ROUNDDOWN(IF((O26-N26+1)*K26*X26/365&gt;R26,R26,(O26-N26+1)*K26*X26/365),2)</f>
        <v>0</v>
      </c>
      <c r="Z26" s="9">
        <f>R26-Y26</f>
        <v>0</v>
      </c>
      <c r="AA26" s="9"/>
      <c r="AB26" s="9"/>
      <c r="AD26" s="1">
        <f>(O26-N26+1)*K26*X26/365</f>
        <v>0</v>
      </c>
    </row>
    <row r="27" spans="1:30" s="2" customFormat="1" hidden="1">
      <c r="A27" s="10"/>
      <c r="B27" s="10"/>
      <c r="C27" s="10"/>
      <c r="D27" s="10"/>
      <c r="E27" s="10"/>
      <c r="F27" s="10"/>
      <c r="G27" s="10"/>
      <c r="H27" s="10"/>
      <c r="I27" s="10"/>
      <c r="J27" s="10"/>
      <c r="K27" s="10"/>
      <c r="L27" s="10"/>
      <c r="M27" s="17"/>
      <c r="N27" s="18"/>
      <c r="O27" s="16"/>
      <c r="P27" s="19"/>
      <c r="Q27" s="25"/>
      <c r="R27" s="10"/>
      <c r="S27" s="19">
        <f>P27</f>
        <v>0</v>
      </c>
      <c r="T27" s="25">
        <f>(S27-N26)/360*$U$26*$K$26</f>
        <v>0</v>
      </c>
      <c r="U27" s="25">
        <f>T27-Q27</f>
        <v>0</v>
      </c>
      <c r="V27" s="18"/>
      <c r="W27" s="10"/>
      <c r="X27" s="10"/>
      <c r="Y27" s="29">
        <f>ROUNDDOWN((V27-N26)*K26*X26/365,2)</f>
        <v>0</v>
      </c>
      <c r="Z27" s="10"/>
      <c r="AA27" s="10"/>
      <c r="AB27" s="10"/>
    </row>
    <row r="28" spans="1:30" s="2" customFormat="1" hidden="1">
      <c r="A28" s="10"/>
      <c r="B28" s="10"/>
      <c r="C28" s="10"/>
      <c r="D28" s="10"/>
      <c r="E28" s="10"/>
      <c r="F28" s="10"/>
      <c r="G28" s="10"/>
      <c r="H28" s="10"/>
      <c r="I28" s="10"/>
      <c r="J28" s="10"/>
      <c r="K28" s="10"/>
      <c r="L28" s="10"/>
      <c r="M28" s="17"/>
      <c r="N28" s="18"/>
      <c r="O28" s="18"/>
      <c r="P28" s="19"/>
      <c r="Q28" s="25"/>
      <c r="R28" s="10"/>
      <c r="S28" s="19">
        <f t="shared" ref="S28:S36" si="4">P28</f>
        <v>0</v>
      </c>
      <c r="T28" s="25">
        <f>(S28-S27)*$U$26*$K$26/360</f>
        <v>0</v>
      </c>
      <c r="U28" s="25">
        <f t="shared" ref="U28:U37" si="5">T28-Q28</f>
        <v>0</v>
      </c>
      <c r="V28" s="10"/>
      <c r="W28" s="10"/>
      <c r="X28" s="10"/>
      <c r="Y28" s="29">
        <f>ROUNDDOWN((O26-V27+1)*(K26-W27)*X26/365,2)</f>
        <v>0</v>
      </c>
      <c r="Z28" s="10"/>
      <c r="AA28" s="10"/>
      <c r="AB28" s="10"/>
    </row>
    <row r="29" spans="1:30" s="2" customFormat="1" hidden="1">
      <c r="A29" s="10"/>
      <c r="B29" s="10"/>
      <c r="C29" s="10"/>
      <c r="D29" s="10"/>
      <c r="E29" s="10"/>
      <c r="F29" s="10"/>
      <c r="G29" s="10"/>
      <c r="H29" s="10"/>
      <c r="I29" s="10"/>
      <c r="J29" s="10"/>
      <c r="K29" s="10"/>
      <c r="L29" s="10"/>
      <c r="M29" s="17"/>
      <c r="N29" s="18"/>
      <c r="O29" s="18"/>
      <c r="P29" s="19"/>
      <c r="Q29" s="25"/>
      <c r="R29" s="10"/>
      <c r="S29" s="19">
        <f t="shared" si="4"/>
        <v>0</v>
      </c>
      <c r="T29" s="25">
        <f t="shared" ref="T29:T36"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7"/>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7"/>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f t="shared" si="4"/>
        <v>0</v>
      </c>
      <c r="T33" s="25">
        <f t="shared" si="6"/>
        <v>0</v>
      </c>
      <c r="U33" s="25">
        <f t="shared" si="5"/>
        <v>0</v>
      </c>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f t="shared" si="4"/>
        <v>0</v>
      </c>
      <c r="T34" s="25">
        <f t="shared" si="6"/>
        <v>0</v>
      </c>
      <c r="U34" s="25">
        <f t="shared" si="5"/>
        <v>0</v>
      </c>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f t="shared" si="4"/>
        <v>0</v>
      </c>
      <c r="T35" s="25">
        <f t="shared" si="6"/>
        <v>0</v>
      </c>
      <c r="U35" s="25">
        <f t="shared" si="5"/>
        <v>0</v>
      </c>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f t="shared" si="4"/>
        <v>0</v>
      </c>
      <c r="T36" s="25">
        <f t="shared" si="6"/>
        <v>0</v>
      </c>
      <c r="U36" s="25">
        <f t="shared" si="5"/>
        <v>0</v>
      </c>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f t="shared" si="5"/>
        <v>0</v>
      </c>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98" hidden="1">
      <c r="A48" s="9">
        <v>3</v>
      </c>
      <c r="B48" s="9" t="str">
        <f>B26</f>
        <v>成都前锋电子有限责任公司</v>
      </c>
      <c r="C48" s="9" t="str">
        <f t="shared" ref="C48:G48" si="7">C26</f>
        <v>成都高新技术产业开发区市场监督管理局</v>
      </c>
      <c r="D48" s="9">
        <f t="shared" si="7"/>
        <v>9.1510100725363802E+17</v>
      </c>
      <c r="E48" s="9" t="str">
        <f t="shared" si="7"/>
        <v>其他有限责任公司</v>
      </c>
      <c r="F48" s="9" t="str">
        <f t="shared" si="7"/>
        <v>国家税务总局成都高新技术产业开发区税务局</v>
      </c>
      <c r="G48" s="9" t="str">
        <f t="shared" si="7"/>
        <v>2010150134080016258上海浦东发展银行股份有限公司成都分行</v>
      </c>
      <c r="H48" s="9"/>
      <c r="I48" s="9"/>
      <c r="J48" s="9"/>
      <c r="K48" s="9"/>
      <c r="L48" s="9"/>
      <c r="M48" s="20"/>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7"/>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7"/>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7"/>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7"/>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7"/>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7"/>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7"/>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98" hidden="1">
      <c r="A70" s="9">
        <v>4</v>
      </c>
      <c r="B70" s="9" t="str">
        <f>B48</f>
        <v>成都前锋电子有限责任公司</v>
      </c>
      <c r="C70" s="9" t="str">
        <f t="shared" ref="C70:G70" si="10">C48</f>
        <v>成都高新技术产业开发区市场监督管理局</v>
      </c>
      <c r="D70" s="9">
        <f t="shared" si="10"/>
        <v>9.1510100725363802E+17</v>
      </c>
      <c r="E70" s="9" t="str">
        <f t="shared" si="10"/>
        <v>其他有限责任公司</v>
      </c>
      <c r="F70" s="9" t="str">
        <f t="shared" si="10"/>
        <v>国家税务总局成都高新技术产业开发区税务局</v>
      </c>
      <c r="G70" s="9" t="str">
        <f t="shared" si="10"/>
        <v>2010150134080016258上海浦东发展银行股份有限公司成都分行</v>
      </c>
      <c r="H70" s="9"/>
      <c r="I70" s="9"/>
      <c r="J70" s="9"/>
      <c r="K70" s="9"/>
      <c r="L70" s="9"/>
      <c r="M70" s="20"/>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7"/>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7"/>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7"/>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7"/>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7"/>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c r="V91" s="10"/>
      <c r="W91" s="10"/>
      <c r="X91" s="10"/>
      <c r="Y91" s="10"/>
      <c r="Z91" s="10"/>
      <c r="AA91" s="10"/>
      <c r="AB91" s="10"/>
    </row>
    <row r="92" spans="1:28" s="1" customFormat="1" ht="98" hidden="1">
      <c r="A92" s="9">
        <v>5</v>
      </c>
      <c r="B92" s="9" t="str">
        <f>B70</f>
        <v>成都前锋电子有限责任公司</v>
      </c>
      <c r="C92" s="9" t="str">
        <f t="shared" ref="C92:G92" si="11">C70</f>
        <v>成都高新技术产业开发区市场监督管理局</v>
      </c>
      <c r="D92" s="9">
        <f t="shared" si="11"/>
        <v>9.1510100725363802E+17</v>
      </c>
      <c r="E92" s="9" t="str">
        <f t="shared" si="11"/>
        <v>其他有限责任公司</v>
      </c>
      <c r="F92" s="9" t="str">
        <f t="shared" si="11"/>
        <v>国家税务总局成都高新技术产业开发区税务局</v>
      </c>
      <c r="G92" s="9" t="str">
        <f t="shared" si="11"/>
        <v>2010150134080016258上海浦东发展银行股份有限公司成都分行</v>
      </c>
      <c r="H92" s="9"/>
      <c r="I92" s="9"/>
      <c r="J92" s="9"/>
      <c r="K92" s="9"/>
      <c r="L92" s="9"/>
      <c r="M92" s="20"/>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1000</v>
      </c>
      <c r="L114" s="9"/>
      <c r="M114" s="20"/>
      <c r="N114" s="16"/>
      <c r="O114" s="16"/>
      <c r="P114" s="9"/>
      <c r="Q114" s="9"/>
      <c r="R114" s="22">
        <f>R92+R70+R48+R26+R4</f>
        <v>9.86</v>
      </c>
      <c r="S114" s="9"/>
      <c r="T114" s="9"/>
      <c r="U114" s="9"/>
      <c r="V114" s="9"/>
      <c r="W114" s="9"/>
      <c r="X114" s="9"/>
      <c r="Y114" s="9">
        <f>Y92+Y70+Y48+Y26++Y4</f>
        <v>9.7799999999999994</v>
      </c>
      <c r="Z114" s="9"/>
      <c r="AA114" s="9"/>
      <c r="AB114" s="9"/>
    </row>
    <row r="115" spans="1:28">
      <c r="I115" t="s">
        <v>49</v>
      </c>
      <c r="K115">
        <f>IF(K114&gt;3000,K116,K114)</f>
        <v>1000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D116"/>
  <sheetViews>
    <sheetView topLeftCell="O1" zoomScale="69" zoomScaleNormal="69" workbookViewId="0">
      <pane ySplit="3" topLeftCell="A4" activePane="bottomLeft" state="frozen"/>
      <selection pane="bottomLeft" activeCell="B4" sqref="B4:AB26"/>
    </sheetView>
  </sheetViews>
  <sheetFormatPr defaultColWidth="9" defaultRowHeight="14"/>
  <cols>
    <col min="7" max="7" width="9" customWidth="1"/>
    <col min="13" max="13" width="11.25" customWidth="1"/>
    <col min="14" max="14" width="10.75" style="4" customWidth="1"/>
    <col min="15" max="15" width="11.0820312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成都三是科技有限公司审计明细表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648</v>
      </c>
      <c r="C4" s="9" t="s">
        <v>859</v>
      </c>
      <c r="D4" s="9" t="s">
        <v>860</v>
      </c>
      <c r="E4" s="9" t="s">
        <v>303</v>
      </c>
      <c r="F4" s="9" t="s">
        <v>584</v>
      </c>
      <c r="G4" s="9" t="s">
        <v>861</v>
      </c>
      <c r="H4" s="9" t="s">
        <v>71</v>
      </c>
      <c r="I4" s="9" t="s">
        <v>862</v>
      </c>
      <c r="J4" s="9" t="s">
        <v>73</v>
      </c>
      <c r="K4" s="9">
        <v>400</v>
      </c>
      <c r="L4" s="9" t="s">
        <v>863</v>
      </c>
      <c r="M4" s="20" t="s">
        <v>864</v>
      </c>
      <c r="N4" s="16">
        <v>45146</v>
      </c>
      <c r="O4" s="16">
        <v>45291</v>
      </c>
      <c r="P4" s="9">
        <f>P10-N4</f>
        <v>165</v>
      </c>
      <c r="Q4" s="22">
        <f>SUM(Q5:Q25)</f>
        <v>6.98</v>
      </c>
      <c r="R4" s="113">
        <v>2.4</v>
      </c>
      <c r="S4" s="9"/>
      <c r="T4" s="22">
        <f>SUM(T5:T25)</f>
        <v>6.98</v>
      </c>
      <c r="U4" s="23">
        <v>3.7999999999999999E-2</v>
      </c>
      <c r="V4" s="16"/>
      <c r="W4" s="9" t="s">
        <v>42</v>
      </c>
      <c r="X4" s="24">
        <f>IFERROR(INDEX(#REF!,MATCH('67'!H4,#REF!)),0)</f>
        <v>0</v>
      </c>
      <c r="Y4" s="9">
        <f>ROUNDDOWN(IF((O4-N4+1)*K4*X4/365&gt;R4,R4,(O4-N4+1)*K4*X4/365),2)</f>
        <v>0</v>
      </c>
      <c r="Z4" s="22">
        <f>R4-Y4</f>
        <v>2.4</v>
      </c>
      <c r="AA4" s="22"/>
      <c r="AB4" s="9" t="s">
        <v>61</v>
      </c>
      <c r="AD4" s="28">
        <f>(O4-N4+1)*K4*X4/365</f>
        <v>0</v>
      </c>
    </row>
    <row r="5" spans="1:30" s="2" customFormat="1">
      <c r="A5" s="10"/>
      <c r="B5" s="10"/>
      <c r="C5" s="10"/>
      <c r="D5" s="10"/>
      <c r="E5" s="10"/>
      <c r="F5" s="10"/>
      <c r="G5" s="10"/>
      <c r="H5" s="10"/>
      <c r="I5" s="10"/>
      <c r="J5" s="10"/>
      <c r="K5" s="10"/>
      <c r="L5" s="10"/>
      <c r="M5" s="10"/>
      <c r="N5" s="18"/>
      <c r="O5" s="16">
        <v>45511</v>
      </c>
      <c r="P5" s="19">
        <v>45158</v>
      </c>
      <c r="Q5" s="25">
        <v>0.51</v>
      </c>
      <c r="R5" s="10"/>
      <c r="S5" s="19">
        <f>P5</f>
        <v>45158</v>
      </c>
      <c r="T5" s="25">
        <f>(S5-N4)/360*$U$4*$K$4</f>
        <v>0.51</v>
      </c>
      <c r="U5" s="25">
        <f>T5-Q5</f>
        <v>0</v>
      </c>
      <c r="V5" s="18"/>
      <c r="W5" s="10"/>
      <c r="X5" s="10"/>
      <c r="Y5" s="10"/>
      <c r="Z5" s="10"/>
      <c r="AA5" s="10"/>
      <c r="AB5" s="10"/>
    </row>
    <row r="6" spans="1:30" s="2" customFormat="1">
      <c r="A6" s="10"/>
      <c r="B6" s="10"/>
      <c r="C6" s="10"/>
      <c r="D6" s="10"/>
      <c r="E6" s="10"/>
      <c r="F6" s="10"/>
      <c r="G6" s="10"/>
      <c r="H6" s="10"/>
      <c r="I6" s="10"/>
      <c r="J6" s="10"/>
      <c r="K6" s="10"/>
      <c r="L6" s="10"/>
      <c r="M6" s="10"/>
      <c r="N6" s="18"/>
      <c r="O6" s="18"/>
      <c r="P6" s="19">
        <v>45189</v>
      </c>
      <c r="Q6" s="25">
        <v>1.31</v>
      </c>
      <c r="R6" s="10"/>
      <c r="S6" s="19">
        <f t="shared" ref="S6:S10" si="0">P6</f>
        <v>45189</v>
      </c>
      <c r="T6" s="25">
        <f>(S6-S5)*$K$4*$U$4/360</f>
        <v>1.31</v>
      </c>
      <c r="U6" s="25">
        <f>T6-Q6</f>
        <v>0</v>
      </c>
      <c r="V6" s="10"/>
      <c r="W6" s="10"/>
      <c r="X6" s="10"/>
      <c r="Y6" s="10"/>
      <c r="Z6" s="10"/>
      <c r="AA6" s="10"/>
      <c r="AB6" s="10"/>
    </row>
    <row r="7" spans="1:30" s="2" customFormat="1">
      <c r="A7" s="10"/>
      <c r="B7" s="10"/>
      <c r="C7" s="10"/>
      <c r="D7" s="10"/>
      <c r="E7" s="10"/>
      <c r="F7" s="10"/>
      <c r="G7" s="10"/>
      <c r="H7" s="10"/>
      <c r="I7" s="10"/>
      <c r="J7" s="10"/>
      <c r="K7" s="10"/>
      <c r="L7" s="10"/>
      <c r="M7" s="10"/>
      <c r="N7" s="18"/>
      <c r="O7" s="18"/>
      <c r="P7" s="19">
        <v>45219</v>
      </c>
      <c r="Q7" s="25">
        <v>1.27</v>
      </c>
      <c r="R7" s="10"/>
      <c r="S7" s="19">
        <f t="shared" si="0"/>
        <v>45219</v>
      </c>
      <c r="T7" s="25">
        <f t="shared" ref="T7:T10" si="1">(S7-S6)*$K$4*$U$4/360</f>
        <v>1.27</v>
      </c>
      <c r="U7" s="25">
        <f t="shared" ref="U7:U10" si="2">T7-Q7</f>
        <v>0</v>
      </c>
      <c r="V7" s="10"/>
      <c r="W7" s="10"/>
      <c r="X7" s="10"/>
      <c r="Y7" s="10"/>
      <c r="Z7" s="10"/>
      <c r="AA7" s="10"/>
      <c r="AB7" s="10"/>
    </row>
    <row r="8" spans="1:30" s="2" customFormat="1">
      <c r="A8" s="10"/>
      <c r="B8" s="10"/>
      <c r="C8" s="10"/>
      <c r="D8" s="10"/>
      <c r="E8" s="10"/>
      <c r="F8" s="10"/>
      <c r="G8" s="10"/>
      <c r="H8" s="10"/>
      <c r="I8" s="10"/>
      <c r="J8" s="10"/>
      <c r="K8" s="10"/>
      <c r="L8" s="10"/>
      <c r="M8" s="10"/>
      <c r="N8" s="18"/>
      <c r="O8" s="18"/>
      <c r="P8" s="19">
        <v>45250</v>
      </c>
      <c r="Q8" s="25">
        <v>1.31</v>
      </c>
      <c r="R8" s="10"/>
      <c r="S8" s="19">
        <f t="shared" si="0"/>
        <v>45250</v>
      </c>
      <c r="T8" s="25">
        <f t="shared" si="1"/>
        <v>1.31</v>
      </c>
      <c r="U8" s="25">
        <f t="shared" si="2"/>
        <v>0</v>
      </c>
      <c r="V8" s="10"/>
      <c r="W8" s="10"/>
      <c r="X8" s="10"/>
      <c r="Y8" s="10"/>
      <c r="Z8" s="10"/>
      <c r="AA8" s="10"/>
      <c r="AB8" s="10"/>
    </row>
    <row r="9" spans="1:30" s="2" customFormat="1">
      <c r="A9" s="10"/>
      <c r="B9" s="10"/>
      <c r="C9" s="10"/>
      <c r="D9" s="10"/>
      <c r="E9" s="10"/>
      <c r="F9" s="10"/>
      <c r="G9" s="10"/>
      <c r="H9" s="10"/>
      <c r="I9" s="10"/>
      <c r="J9" s="10"/>
      <c r="K9" s="10"/>
      <c r="L9" s="10"/>
      <c r="M9" s="10"/>
      <c r="N9" s="18"/>
      <c r="O9" s="18"/>
      <c r="P9" s="19">
        <v>45280</v>
      </c>
      <c r="Q9" s="25">
        <v>1.27</v>
      </c>
      <c r="R9" s="10"/>
      <c r="S9" s="19">
        <f t="shared" si="0"/>
        <v>45280</v>
      </c>
      <c r="T9" s="25">
        <f t="shared" si="1"/>
        <v>1.27</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0"/>
      <c r="N10" s="18"/>
      <c r="O10" s="18"/>
      <c r="P10" s="112">
        <v>45311</v>
      </c>
      <c r="Q10" s="114">
        <v>1.31</v>
      </c>
      <c r="R10" s="10"/>
      <c r="S10" s="19">
        <f t="shared" si="0"/>
        <v>45311</v>
      </c>
      <c r="T10" s="25">
        <f t="shared" si="1"/>
        <v>1.31</v>
      </c>
      <c r="U10" s="25">
        <f t="shared" si="2"/>
        <v>0</v>
      </c>
      <c r="V10" s="10"/>
      <c r="W10" s="10"/>
      <c r="X10" s="10"/>
      <c r="Y10" s="10"/>
      <c r="Z10" s="10"/>
      <c r="AA10" s="10"/>
      <c r="AB10" s="10"/>
    </row>
    <row r="11" spans="1:30" s="2" customFormat="1" hidden="1">
      <c r="A11" s="10"/>
      <c r="B11" s="10"/>
      <c r="C11" s="10"/>
      <c r="D11" s="10"/>
      <c r="E11" s="10"/>
      <c r="F11" s="10"/>
      <c r="G11" s="10"/>
      <c r="H11" s="10"/>
      <c r="I11" s="10"/>
      <c r="J11" s="10"/>
      <c r="K11" s="10"/>
      <c r="L11" s="10"/>
      <c r="M11" s="10"/>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0"/>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70" hidden="1">
      <c r="A26" s="9">
        <v>2</v>
      </c>
      <c r="B26" s="9" t="str">
        <f>B4</f>
        <v>成都三是科技有限公司</v>
      </c>
      <c r="C26" s="9" t="str">
        <f t="shared" ref="C26:G26" si="3">C4</f>
        <v>成华市场和质量监督管理局</v>
      </c>
      <c r="D26" s="9" t="str">
        <f t="shared" si="3"/>
        <v>915101083579751693</v>
      </c>
      <c r="E26" s="9" t="str">
        <f t="shared" si="3"/>
        <v>私营有限责任公司</v>
      </c>
      <c r="F26" s="9" t="str">
        <f t="shared" si="3"/>
        <v>成都市成华区税务局</v>
      </c>
      <c r="G26" s="9" t="str">
        <f t="shared" si="3"/>
        <v>1001300000435874 （成都银行龙潭支行）</v>
      </c>
      <c r="H26" s="9"/>
      <c r="I26" s="9"/>
      <c r="J26" s="9"/>
      <c r="K26" s="9"/>
      <c r="L26" s="9"/>
      <c r="M26" s="9"/>
      <c r="N26" s="16"/>
      <c r="O26" s="16"/>
      <c r="P26" s="9">
        <f>P32-N26</f>
        <v>0</v>
      </c>
      <c r="Q26" s="22">
        <f>SUM(Q27:Q47)</f>
        <v>0</v>
      </c>
      <c r="R26" s="10"/>
      <c r="S26" s="9"/>
      <c r="T26" s="9">
        <f>SUM(T27:T47)</f>
        <v>0</v>
      </c>
      <c r="U26" s="23"/>
      <c r="V26" s="16"/>
      <c r="W26" s="9"/>
      <c r="X26" s="24"/>
      <c r="Y26" s="9">
        <f>ROUNDUP(IF((O26-N26+1)*K26*X26/365&gt;R26,R26,(O26-N26+1)*K26*X26/365),2)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0"/>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0"/>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0"/>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0"/>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0"/>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0"/>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0"/>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0"/>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row>
    <row r="48" spans="1:28" s="1" customFormat="1" ht="70" hidden="1">
      <c r="A48" s="9">
        <v>3</v>
      </c>
      <c r="B48" s="9" t="str">
        <f>B26</f>
        <v>成都三是科技有限公司</v>
      </c>
      <c r="C48" s="9" t="str">
        <f t="shared" ref="C48:G48" si="7">C26</f>
        <v>成华市场和质量监督管理局</v>
      </c>
      <c r="D48" s="9" t="str">
        <f t="shared" si="7"/>
        <v>915101083579751693</v>
      </c>
      <c r="E48" s="9" t="str">
        <f t="shared" si="7"/>
        <v>私营有限责任公司</v>
      </c>
      <c r="F48" s="9" t="str">
        <f t="shared" si="7"/>
        <v>成都市成华区税务局</v>
      </c>
      <c r="G48" s="9" t="str">
        <f t="shared" si="7"/>
        <v>1001300000435874 （成都银行龙潭支行）</v>
      </c>
      <c r="H48" s="9" t="s">
        <v>65</v>
      </c>
      <c r="I48" s="9" t="s">
        <v>57</v>
      </c>
      <c r="J48" s="9" t="s">
        <v>66</v>
      </c>
      <c r="K48" s="9"/>
      <c r="L48" s="9"/>
      <c r="M48" s="9"/>
      <c r="N48" s="16"/>
      <c r="O48" s="16"/>
      <c r="P48" s="9"/>
      <c r="Q48" s="22">
        <f>SUM(Q49:Q69)</f>
        <v>0</v>
      </c>
      <c r="R48" s="10"/>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0"/>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70" hidden="1">
      <c r="A70" s="9">
        <v>4</v>
      </c>
      <c r="B70" s="9" t="str">
        <f>B48</f>
        <v>成都三是科技有限公司</v>
      </c>
      <c r="C70" s="9" t="str">
        <f t="shared" ref="C70:G70" si="10">C48</f>
        <v>成华市场和质量监督管理局</v>
      </c>
      <c r="D70" s="9" t="str">
        <f t="shared" si="10"/>
        <v>915101083579751693</v>
      </c>
      <c r="E70" s="9" t="str">
        <f t="shared" si="10"/>
        <v>私营有限责任公司</v>
      </c>
      <c r="F70" s="9" t="str">
        <f t="shared" si="10"/>
        <v>成都市成华区税务局</v>
      </c>
      <c r="G70" s="9" t="str">
        <f t="shared" si="10"/>
        <v>1001300000435874 （成都银行龙潭支行）</v>
      </c>
      <c r="H70" s="9"/>
      <c r="I70" s="9"/>
      <c r="J70" s="9"/>
      <c r="K70" s="9"/>
      <c r="L70" s="9"/>
      <c r="M70" s="9"/>
      <c r="N70" s="16"/>
      <c r="O70" s="16"/>
      <c r="P70" s="9"/>
      <c r="Q70" s="22">
        <f>SUM(Q71:Q91)</f>
        <v>0</v>
      </c>
      <c r="R70" s="10"/>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70" hidden="1">
      <c r="A92" s="9">
        <v>5</v>
      </c>
      <c r="B92" s="9" t="str">
        <f>B70</f>
        <v>成都三是科技有限公司</v>
      </c>
      <c r="C92" s="9" t="str">
        <f t="shared" ref="C92:G92" si="11">C70</f>
        <v>成华市场和质量监督管理局</v>
      </c>
      <c r="D92" s="9" t="str">
        <f t="shared" si="11"/>
        <v>915101083579751693</v>
      </c>
      <c r="E92" s="9" t="str">
        <f t="shared" si="11"/>
        <v>私营有限责任公司</v>
      </c>
      <c r="F92" s="9" t="str">
        <f t="shared" si="11"/>
        <v>成都市成华区税务局</v>
      </c>
      <c r="G92" s="9" t="str">
        <f t="shared" si="11"/>
        <v>1001300000435874 （成都银行龙潭支行）</v>
      </c>
      <c r="H92" s="9"/>
      <c r="I92" s="9"/>
      <c r="J92" s="9"/>
      <c r="K92" s="9"/>
      <c r="L92" s="9"/>
      <c r="M92" s="9"/>
      <c r="N92" s="16"/>
      <c r="O92" s="16"/>
      <c r="P92" s="9"/>
      <c r="Q92" s="22">
        <f>SUM(Q93:Q113)</f>
        <v>0</v>
      </c>
      <c r="R92" s="10"/>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400</v>
      </c>
      <c r="L114" s="9"/>
      <c r="M114" s="9"/>
      <c r="N114" s="16"/>
      <c r="O114" s="16"/>
      <c r="P114" s="9"/>
      <c r="Q114" s="9"/>
      <c r="R114" s="10">
        <f>R92+R70+R48+R26++R4</f>
        <v>2.4</v>
      </c>
      <c r="S114" s="9"/>
      <c r="T114" s="9"/>
      <c r="U114" s="9"/>
      <c r="V114" s="9"/>
      <c r="W114" s="9"/>
      <c r="X114" s="9"/>
      <c r="Y114" s="9">
        <f>Y92+Y70+Y48+Y26++Y4</f>
        <v>0</v>
      </c>
      <c r="Z114" s="9"/>
      <c r="AA114" s="9"/>
      <c r="AB114" s="9"/>
    </row>
    <row r="115" spans="1:28">
      <c r="I115" t="s">
        <v>49</v>
      </c>
      <c r="K115">
        <f>IF(K114&gt;3000,K116,K114)</f>
        <v>400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D116"/>
  <sheetViews>
    <sheetView zoomScale="90" zoomScaleNormal="90" workbookViewId="0">
      <pane ySplit="3" topLeftCell="A4" activePane="bottomLeft" state="frozen"/>
      <selection pane="bottomLeft" activeCell="M7" sqref="M7"/>
    </sheetView>
  </sheetViews>
  <sheetFormatPr defaultColWidth="9" defaultRowHeight="14"/>
  <cols>
    <col min="7" max="7" width="9" customWidth="1"/>
    <col min="14" max="14" width="10.75" style="4" customWidth="1"/>
    <col min="15" max="15" width="11.0820312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四川海力智能科技股份有限公司审计明细表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8"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701</v>
      </c>
      <c r="C4" s="9" t="s">
        <v>52</v>
      </c>
      <c r="D4" s="9" t="s">
        <v>865</v>
      </c>
      <c r="E4" s="9" t="s">
        <v>866</v>
      </c>
      <c r="F4" s="9" t="s">
        <v>584</v>
      </c>
      <c r="G4" s="9" t="s">
        <v>867</v>
      </c>
      <c r="H4" s="9" t="s">
        <v>71</v>
      </c>
      <c r="I4" s="9" t="s">
        <v>835</v>
      </c>
      <c r="J4" s="9" t="s">
        <v>73</v>
      </c>
      <c r="K4" s="9">
        <v>600</v>
      </c>
      <c r="L4" s="9" t="s">
        <v>868</v>
      </c>
      <c r="M4" s="9" t="s">
        <v>869</v>
      </c>
      <c r="N4" s="16">
        <v>45105</v>
      </c>
      <c r="O4" s="16">
        <v>45291</v>
      </c>
      <c r="P4" s="9">
        <f>P8-N4</f>
        <v>115</v>
      </c>
      <c r="Q4" s="22">
        <f>SUM(Q5:Q25)</f>
        <v>13.1</v>
      </c>
      <c r="R4" s="22">
        <v>4.6100000000000003</v>
      </c>
      <c r="S4" s="9"/>
      <c r="T4" s="22">
        <f>SUM(T5:T25)</f>
        <v>11.77</v>
      </c>
      <c r="U4" s="23">
        <v>3.7999999999999999E-2</v>
      </c>
      <c r="V4" s="16"/>
      <c r="W4" s="9" t="s">
        <v>42</v>
      </c>
      <c r="X4" s="24">
        <f>IFERROR(INDEX(#REF!,MATCH('62'!H4,#REF!)),0)</f>
        <v>0</v>
      </c>
      <c r="Y4" s="9">
        <f>ROUNDDOWN(IF((O4-N4+1)*K4*X4/365&gt;R4,R4,(O4-N4+1)*K4*X4/365),2)</f>
        <v>0</v>
      </c>
      <c r="Z4" s="22">
        <f>R4-Y4</f>
        <v>4.6100000000000003</v>
      </c>
      <c r="AA4" s="22"/>
      <c r="AB4" s="9" t="s">
        <v>61</v>
      </c>
      <c r="AD4" s="28"/>
    </row>
    <row r="5" spans="1:30" s="2" customFormat="1">
      <c r="A5" s="10"/>
      <c r="B5" s="10"/>
      <c r="C5" s="10"/>
      <c r="D5" s="10"/>
      <c r="E5" s="10"/>
      <c r="F5" s="10"/>
      <c r="G5" s="10"/>
      <c r="H5" s="10"/>
      <c r="I5" s="10"/>
      <c r="J5" s="10"/>
      <c r="K5" s="10"/>
      <c r="L5" s="10"/>
      <c r="M5" s="10"/>
      <c r="N5" s="18"/>
      <c r="O5" s="16">
        <v>45470</v>
      </c>
      <c r="P5" s="19">
        <v>45128</v>
      </c>
      <c r="Q5" s="25">
        <v>1.46</v>
      </c>
      <c r="R5" s="10"/>
      <c r="S5" s="19">
        <f>P5</f>
        <v>45128</v>
      </c>
      <c r="T5" s="25">
        <f>(S5-N4)/360*$U$4*$K$4</f>
        <v>1.46</v>
      </c>
      <c r="U5" s="25">
        <f>T5-Q5</f>
        <v>0</v>
      </c>
      <c r="V5" s="18"/>
      <c r="W5" s="10"/>
      <c r="X5" s="10"/>
      <c r="Y5" s="10"/>
      <c r="Z5" s="10"/>
      <c r="AA5" s="10"/>
      <c r="AB5" s="10"/>
    </row>
    <row r="6" spans="1:30" s="2" customFormat="1">
      <c r="A6" s="10"/>
      <c r="B6" s="10"/>
      <c r="C6" s="10"/>
      <c r="D6" s="10"/>
      <c r="E6" s="10"/>
      <c r="F6" s="10"/>
      <c r="G6" s="10"/>
      <c r="H6" s="10"/>
      <c r="I6" s="10"/>
      <c r="J6" s="10"/>
      <c r="K6" s="10"/>
      <c r="L6" s="10"/>
      <c r="M6" s="10"/>
      <c r="N6" s="18"/>
      <c r="O6" s="18"/>
      <c r="P6" s="19">
        <v>45159</v>
      </c>
      <c r="Q6" s="25">
        <v>1.96</v>
      </c>
      <c r="R6" s="10"/>
      <c r="S6" s="19">
        <f t="shared" ref="S6:S11" si="0">P6</f>
        <v>45159</v>
      </c>
      <c r="T6" s="25">
        <f>(S6-S5)*$K$4*$U$4/360</f>
        <v>1.96</v>
      </c>
      <c r="U6" s="25">
        <f>T6-Q6</f>
        <v>0</v>
      </c>
      <c r="V6" s="10"/>
      <c r="W6" s="10"/>
      <c r="X6" s="10"/>
      <c r="Y6" s="10"/>
      <c r="Z6" s="10"/>
      <c r="AA6" s="10"/>
      <c r="AB6" s="10"/>
    </row>
    <row r="7" spans="1:30" s="2" customFormat="1">
      <c r="A7" s="10"/>
      <c r="B7" s="10"/>
      <c r="C7" s="10"/>
      <c r="D7" s="10"/>
      <c r="E7" s="10"/>
      <c r="F7" s="10"/>
      <c r="G7" s="10"/>
      <c r="H7" s="10"/>
      <c r="I7" s="10"/>
      <c r="J7" s="10"/>
      <c r="K7" s="10"/>
      <c r="L7" s="10"/>
      <c r="M7" s="10"/>
      <c r="N7" s="18"/>
      <c r="O7" s="18"/>
      <c r="P7" s="19">
        <v>45190</v>
      </c>
      <c r="Q7" s="25">
        <v>1.96</v>
      </c>
      <c r="R7" s="10"/>
      <c r="S7" s="19">
        <f t="shared" si="0"/>
        <v>45190</v>
      </c>
      <c r="T7" s="25">
        <f t="shared" ref="T7:T11" si="1">(S7-S6)*$K$4*$U$4/360</f>
        <v>1.96</v>
      </c>
      <c r="U7" s="25">
        <f t="shared" ref="U7:U11" si="2">T7-Q7</f>
        <v>0</v>
      </c>
      <c r="V7" s="10"/>
      <c r="W7" s="10"/>
      <c r="X7" s="10"/>
      <c r="Y7" s="10"/>
      <c r="Z7" s="10"/>
      <c r="AA7" s="10"/>
      <c r="AB7" s="10"/>
    </row>
    <row r="8" spans="1:30" s="2" customFormat="1">
      <c r="A8" s="10"/>
      <c r="B8" s="10"/>
      <c r="C8" s="10"/>
      <c r="D8" s="10"/>
      <c r="E8" s="10"/>
      <c r="F8" s="10"/>
      <c r="G8" s="10"/>
      <c r="H8" s="10"/>
      <c r="I8" s="10"/>
      <c r="J8" s="10"/>
      <c r="K8" s="10"/>
      <c r="L8" s="10"/>
      <c r="M8" s="10"/>
      <c r="N8" s="18"/>
      <c r="O8" s="18"/>
      <c r="P8" s="19">
        <v>45220</v>
      </c>
      <c r="Q8" s="25">
        <v>1.9</v>
      </c>
      <c r="R8" s="10"/>
      <c r="S8" s="19">
        <f t="shared" si="0"/>
        <v>45220</v>
      </c>
      <c r="T8" s="25">
        <f t="shared" si="1"/>
        <v>1.9</v>
      </c>
      <c r="U8" s="25">
        <f t="shared" si="2"/>
        <v>0</v>
      </c>
      <c r="V8" s="10"/>
      <c r="W8" s="10"/>
      <c r="X8" s="10"/>
      <c r="Y8" s="10"/>
      <c r="Z8" s="10"/>
      <c r="AA8" s="10"/>
      <c r="AB8" s="10"/>
    </row>
    <row r="9" spans="1:30" s="2" customFormat="1">
      <c r="A9" s="10"/>
      <c r="B9" s="10"/>
      <c r="C9" s="10"/>
      <c r="D9" s="10"/>
      <c r="E9" s="10"/>
      <c r="F9" s="10"/>
      <c r="G9" s="10"/>
      <c r="H9" s="10"/>
      <c r="I9" s="10"/>
      <c r="J9" s="10"/>
      <c r="K9" s="10"/>
      <c r="L9" s="10"/>
      <c r="M9" s="10"/>
      <c r="N9" s="18"/>
      <c r="O9" s="18"/>
      <c r="P9" s="19">
        <v>45251</v>
      </c>
      <c r="Q9" s="25">
        <v>1.96</v>
      </c>
      <c r="R9" s="10"/>
      <c r="S9" s="19">
        <f t="shared" si="0"/>
        <v>45251</v>
      </c>
      <c r="T9" s="25">
        <f t="shared" si="1"/>
        <v>1.96</v>
      </c>
      <c r="U9" s="25">
        <f t="shared" si="2"/>
        <v>0</v>
      </c>
      <c r="V9" s="10"/>
      <c r="W9" s="10"/>
      <c r="X9" s="10"/>
      <c r="Y9" s="10"/>
      <c r="Z9" s="10"/>
      <c r="AA9" s="10"/>
      <c r="AB9" s="10"/>
    </row>
    <row r="10" spans="1:30" s="2" customFormat="1">
      <c r="A10" s="10"/>
      <c r="B10" s="10"/>
      <c r="C10" s="10"/>
      <c r="D10" s="10"/>
      <c r="E10" s="10"/>
      <c r="F10" s="10"/>
      <c r="G10" s="10"/>
      <c r="H10" s="10"/>
      <c r="I10" s="10"/>
      <c r="J10" s="10"/>
      <c r="K10" s="10"/>
      <c r="L10" s="10"/>
      <c r="M10" s="10"/>
      <c r="N10" s="18"/>
      <c r="O10" s="18"/>
      <c r="P10" s="19">
        <v>45281</v>
      </c>
      <c r="Q10" s="25">
        <v>1.9</v>
      </c>
      <c r="R10" s="10"/>
      <c r="S10" s="19">
        <f t="shared" si="0"/>
        <v>45281</v>
      </c>
      <c r="T10" s="25">
        <f t="shared" si="1"/>
        <v>1.9</v>
      </c>
      <c r="U10" s="25">
        <f t="shared" si="2"/>
        <v>0</v>
      </c>
      <c r="V10" s="10"/>
      <c r="W10" s="10"/>
      <c r="X10" s="10"/>
      <c r="Y10" s="10"/>
      <c r="Z10" s="10"/>
      <c r="AA10" s="10"/>
      <c r="AB10" s="10"/>
    </row>
    <row r="11" spans="1:30" s="2" customFormat="1">
      <c r="A11" s="10"/>
      <c r="B11" s="10"/>
      <c r="C11" s="10"/>
      <c r="D11" s="10"/>
      <c r="E11" s="10"/>
      <c r="F11" s="10"/>
      <c r="G11" s="10"/>
      <c r="H11" s="10"/>
      <c r="I11" s="10"/>
      <c r="J11" s="10"/>
      <c r="K11" s="10"/>
      <c r="L11" s="10"/>
      <c r="M11" s="10"/>
      <c r="N11" s="18"/>
      <c r="O11" s="18"/>
      <c r="P11" s="19">
        <v>45291</v>
      </c>
      <c r="Q11" s="25">
        <v>1.96</v>
      </c>
      <c r="R11" s="10"/>
      <c r="S11" s="19">
        <f t="shared" si="0"/>
        <v>45291</v>
      </c>
      <c r="T11" s="25">
        <f t="shared" si="1"/>
        <v>0.63</v>
      </c>
      <c r="U11" s="25">
        <f t="shared" si="2"/>
        <v>-1.33</v>
      </c>
      <c r="V11" s="10"/>
      <c r="W11" s="10"/>
      <c r="X11" s="10"/>
      <c r="Y11" s="10"/>
      <c r="Z11" s="10"/>
      <c r="AA11" s="10"/>
      <c r="AB11" s="10"/>
    </row>
    <row r="12" spans="1:30" s="2" customFormat="1" hidden="1">
      <c r="A12" s="10"/>
      <c r="B12" s="10"/>
      <c r="C12" s="10"/>
      <c r="D12" s="10"/>
      <c r="E12" s="10"/>
      <c r="F12" s="10"/>
      <c r="G12" s="10"/>
      <c r="H12" s="10"/>
      <c r="I12" s="10"/>
      <c r="J12" s="10"/>
      <c r="K12" s="10"/>
      <c r="L12" s="10"/>
      <c r="M12" s="10"/>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0"/>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0"/>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0"/>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0"/>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0"/>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0"/>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0"/>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0"/>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0"/>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0"/>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0"/>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0"/>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0"/>
      <c r="N25" s="18"/>
      <c r="O25" s="18"/>
      <c r="P25" s="19"/>
      <c r="Q25" s="25"/>
      <c r="R25" s="10"/>
      <c r="S25" s="19"/>
      <c r="T25" s="25"/>
      <c r="U25" s="25"/>
      <c r="V25" s="10"/>
      <c r="W25" s="10"/>
      <c r="X25" s="10"/>
      <c r="Y25" s="10"/>
      <c r="Z25" s="10"/>
      <c r="AA25" s="10"/>
      <c r="AB25" s="10"/>
    </row>
    <row r="26" spans="1:30" s="1" customFormat="1" ht="70" hidden="1">
      <c r="A26" s="9">
        <v>2</v>
      </c>
      <c r="B26" s="9" t="str">
        <f>B4</f>
        <v>四川海力智能科技股份有限公司</v>
      </c>
      <c r="C26" s="9" t="str">
        <f t="shared" ref="C26:G26" si="3">C4</f>
        <v>成都市市场监督管理局</v>
      </c>
      <c r="D26" s="9" t="str">
        <f t="shared" si="3"/>
        <v>91510000779827684C</v>
      </c>
      <c r="E26" s="9" t="str">
        <f t="shared" si="3"/>
        <v>小型</v>
      </c>
      <c r="F26" s="9" t="str">
        <f t="shared" si="3"/>
        <v>成都市成华区税务局</v>
      </c>
      <c r="G26" s="9" t="str">
        <f t="shared" si="3"/>
        <v>51001908608051502125（建行成都新鸿支行）</v>
      </c>
      <c r="H26" s="9"/>
      <c r="I26" s="9"/>
      <c r="J26" s="9"/>
      <c r="K26" s="9"/>
      <c r="L26" s="9"/>
      <c r="M26" s="9"/>
      <c r="N26" s="16"/>
      <c r="O26" s="16"/>
      <c r="P26" s="9">
        <f>P32-N26</f>
        <v>0</v>
      </c>
      <c r="Q26" s="22">
        <f>SUM(Q27:Q47)</f>
        <v>0</v>
      </c>
      <c r="R26" s="9"/>
      <c r="S26" s="9"/>
      <c r="T26" s="9">
        <f>SUM(T27:T47)</f>
        <v>0</v>
      </c>
      <c r="U26" s="23"/>
      <c r="V26" s="16"/>
      <c r="W26" s="9"/>
      <c r="X26" s="24"/>
      <c r="Y26" s="9">
        <f>ROUNDUP(IF((O26-N26+1)*K26*X26/365&gt;R26,R26,(O26-N26+1)*K26*X26/365),2)</f>
        <v>0</v>
      </c>
      <c r="Z26" s="9"/>
      <c r="AA26" s="9"/>
      <c r="AB26" s="9"/>
      <c r="AD26" s="1">
        <f>(O26-N26+1)*K26*X26/365</f>
        <v>0</v>
      </c>
    </row>
    <row r="27" spans="1:30" s="2" customFormat="1" hidden="1">
      <c r="A27" s="10"/>
      <c r="B27" s="10"/>
      <c r="C27" s="10"/>
      <c r="D27" s="10"/>
      <c r="E27" s="10"/>
      <c r="F27" s="10"/>
      <c r="G27" s="10"/>
      <c r="H27" s="10"/>
      <c r="I27" s="10"/>
      <c r="J27" s="10"/>
      <c r="K27" s="10"/>
      <c r="L27" s="10"/>
      <c r="M27" s="10"/>
      <c r="N27" s="18"/>
      <c r="O27" s="16"/>
      <c r="P27" s="19"/>
      <c r="Q27" s="25"/>
      <c r="R27" s="10"/>
      <c r="S27" s="19">
        <f>P27</f>
        <v>0</v>
      </c>
      <c r="T27" s="25">
        <f>(S27-N26)/360*$U$26*$K$26</f>
        <v>0</v>
      </c>
      <c r="U27" s="25">
        <f>T27-Q27</f>
        <v>0</v>
      </c>
      <c r="V27" s="18"/>
      <c r="W27" s="10"/>
      <c r="X27" s="10"/>
      <c r="Y27" s="29">
        <f>ROUNDUP((V27-N26)*K26*X26/365,2)</f>
        <v>0</v>
      </c>
      <c r="Z27" s="10"/>
      <c r="AA27" s="10"/>
      <c r="AB27" s="10"/>
    </row>
    <row r="28" spans="1:30" s="2" customFormat="1" hidden="1">
      <c r="A28" s="10"/>
      <c r="B28" s="10"/>
      <c r="C28" s="10"/>
      <c r="D28" s="10"/>
      <c r="E28" s="10"/>
      <c r="F28" s="10"/>
      <c r="G28" s="10"/>
      <c r="H28" s="10"/>
      <c r="I28" s="10"/>
      <c r="J28" s="10"/>
      <c r="K28" s="10"/>
      <c r="L28" s="10"/>
      <c r="M28" s="10"/>
      <c r="N28" s="18"/>
      <c r="O28" s="18"/>
      <c r="P28" s="19"/>
      <c r="Q28" s="25"/>
      <c r="R28" s="10"/>
      <c r="S28" s="19">
        <f t="shared" ref="S28:S32" si="4">P28</f>
        <v>0</v>
      </c>
      <c r="T28" s="25">
        <f>(S28-S27)*$U$26*$K$26/360</f>
        <v>0</v>
      </c>
      <c r="U28" s="25">
        <f t="shared" ref="U28:U32" si="5">T28-Q28</f>
        <v>0</v>
      </c>
      <c r="V28" s="10"/>
      <c r="W28" s="10"/>
      <c r="X28" s="10"/>
      <c r="Y28" s="29">
        <f>ROUNDUP((O26-V27+1)*(K26-W27)*X26/365,2)</f>
        <v>0</v>
      </c>
      <c r="Z28" s="10"/>
      <c r="AA28" s="10"/>
      <c r="AB28" s="10"/>
    </row>
    <row r="29" spans="1:30" s="2" customFormat="1" hidden="1">
      <c r="A29" s="10"/>
      <c r="B29" s="10"/>
      <c r="C29" s="10"/>
      <c r="D29" s="10"/>
      <c r="E29" s="10"/>
      <c r="F29" s="10"/>
      <c r="G29" s="10"/>
      <c r="H29" s="10"/>
      <c r="I29" s="10"/>
      <c r="J29" s="10"/>
      <c r="K29" s="10"/>
      <c r="L29" s="10"/>
      <c r="M29" s="10"/>
      <c r="N29" s="18"/>
      <c r="O29" s="18"/>
      <c r="P29" s="19"/>
      <c r="Q29" s="25"/>
      <c r="R29" s="10"/>
      <c r="S29" s="19">
        <f t="shared" si="4"/>
        <v>0</v>
      </c>
      <c r="T29" s="25">
        <f t="shared" ref="T29:T32" si="6">(S29-S28)*$U$26*$K$26/360</f>
        <v>0</v>
      </c>
      <c r="U29" s="25">
        <f t="shared" si="5"/>
        <v>0</v>
      </c>
      <c r="V29" s="10"/>
      <c r="W29" s="10"/>
      <c r="X29" s="10"/>
      <c r="Y29" s="10"/>
      <c r="Z29" s="10"/>
      <c r="AA29" s="10"/>
      <c r="AB29" s="10"/>
    </row>
    <row r="30" spans="1:30" s="2" customFormat="1" hidden="1">
      <c r="A30" s="10"/>
      <c r="B30" s="10"/>
      <c r="C30" s="10"/>
      <c r="D30" s="10"/>
      <c r="E30" s="10"/>
      <c r="F30" s="10"/>
      <c r="G30" s="10"/>
      <c r="H30" s="10"/>
      <c r="I30" s="10"/>
      <c r="J30" s="10"/>
      <c r="K30" s="10"/>
      <c r="L30" s="10"/>
      <c r="M30" s="10"/>
      <c r="N30" s="18"/>
      <c r="O30" s="18"/>
      <c r="P30" s="19"/>
      <c r="Q30" s="25"/>
      <c r="R30" s="10"/>
      <c r="S30" s="19">
        <f t="shared" si="4"/>
        <v>0</v>
      </c>
      <c r="T30" s="25">
        <f t="shared" si="6"/>
        <v>0</v>
      </c>
      <c r="U30" s="25">
        <f t="shared" si="5"/>
        <v>0</v>
      </c>
      <c r="V30" s="10"/>
      <c r="W30" s="10"/>
      <c r="X30" s="10"/>
      <c r="Y30" s="10"/>
      <c r="Z30" s="10"/>
      <c r="AA30" s="10"/>
      <c r="AB30" s="10"/>
    </row>
    <row r="31" spans="1:30" s="2" customFormat="1" hidden="1">
      <c r="A31" s="10"/>
      <c r="B31" s="10"/>
      <c r="C31" s="10"/>
      <c r="D31" s="10"/>
      <c r="E31" s="10"/>
      <c r="F31" s="10"/>
      <c r="G31" s="10"/>
      <c r="H31" s="10"/>
      <c r="I31" s="10"/>
      <c r="J31" s="10"/>
      <c r="K31" s="10"/>
      <c r="L31" s="10"/>
      <c r="M31" s="10"/>
      <c r="N31" s="18"/>
      <c r="O31" s="18"/>
      <c r="P31" s="19"/>
      <c r="Q31" s="25"/>
      <c r="R31" s="10"/>
      <c r="S31" s="19">
        <f t="shared" si="4"/>
        <v>0</v>
      </c>
      <c r="T31" s="25">
        <f t="shared" si="6"/>
        <v>0</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0"/>
      <c r="N32" s="18"/>
      <c r="O32" s="18"/>
      <c r="P32" s="19"/>
      <c r="Q32" s="25"/>
      <c r="R32" s="10"/>
      <c r="S32" s="19">
        <f t="shared" si="4"/>
        <v>0</v>
      </c>
      <c r="T32" s="25">
        <f t="shared" si="6"/>
        <v>0</v>
      </c>
      <c r="U32" s="25">
        <f t="shared" si="5"/>
        <v>0</v>
      </c>
      <c r="V32" s="10"/>
      <c r="W32" s="10"/>
      <c r="X32" s="10"/>
      <c r="Y32" s="10"/>
      <c r="Z32" s="10"/>
      <c r="AA32" s="10"/>
      <c r="AB32" s="10"/>
    </row>
    <row r="33" spans="1:28" s="2" customFormat="1" hidden="1">
      <c r="A33" s="10"/>
      <c r="B33" s="10"/>
      <c r="C33" s="10"/>
      <c r="D33" s="10"/>
      <c r="E33" s="10"/>
      <c r="F33" s="10"/>
      <c r="G33" s="10"/>
      <c r="H33" s="10"/>
      <c r="I33" s="10"/>
      <c r="J33" s="10"/>
      <c r="K33" s="10"/>
      <c r="L33" s="10"/>
      <c r="M33" s="10"/>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0"/>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0"/>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0"/>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0"/>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0"/>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0"/>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0"/>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0"/>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0"/>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0"/>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0"/>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0"/>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0"/>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0"/>
      <c r="N47" s="18"/>
      <c r="O47" s="18"/>
      <c r="P47" s="19"/>
      <c r="Q47" s="25"/>
      <c r="R47" s="10"/>
      <c r="S47" s="19"/>
      <c r="T47" s="25"/>
      <c r="U47" s="25"/>
      <c r="V47" s="10"/>
      <c r="W47" s="10"/>
      <c r="X47" s="10"/>
      <c r="Y47" s="10"/>
      <c r="Z47" s="10"/>
      <c r="AA47" s="10"/>
      <c r="AB47" s="10"/>
    </row>
    <row r="48" spans="1:28" s="1" customFormat="1" ht="70" hidden="1">
      <c r="A48" s="9">
        <v>3</v>
      </c>
      <c r="B48" s="9" t="str">
        <f>B26</f>
        <v>四川海力智能科技股份有限公司</v>
      </c>
      <c r="C48" s="9" t="str">
        <f t="shared" ref="C48:G48" si="7">C26</f>
        <v>成都市市场监督管理局</v>
      </c>
      <c r="D48" s="9" t="str">
        <f t="shared" si="7"/>
        <v>91510000779827684C</v>
      </c>
      <c r="E48" s="9" t="str">
        <f t="shared" si="7"/>
        <v>小型</v>
      </c>
      <c r="F48" s="9" t="str">
        <f t="shared" si="7"/>
        <v>成都市成华区税务局</v>
      </c>
      <c r="G48" s="9" t="str">
        <f t="shared" si="7"/>
        <v>51001908608051502125（建行成都新鸿支行）</v>
      </c>
      <c r="H48" s="9" t="s">
        <v>65</v>
      </c>
      <c r="I48" s="9" t="s">
        <v>57</v>
      </c>
      <c r="J48" s="9" t="s">
        <v>66</v>
      </c>
      <c r="K48" s="9"/>
      <c r="L48" s="9"/>
      <c r="M48" s="9"/>
      <c r="N48" s="16"/>
      <c r="O48" s="16"/>
      <c r="P48" s="9"/>
      <c r="Q48" s="22">
        <f>SUM(Q49:Q69)</f>
        <v>0</v>
      </c>
      <c r="R48" s="9"/>
      <c r="S48" s="9"/>
      <c r="T48" s="9">
        <f>SUM(T49:T69)</f>
        <v>0</v>
      </c>
      <c r="U48" s="23"/>
      <c r="V48" s="16"/>
      <c r="W48" s="9"/>
      <c r="X48" s="24"/>
      <c r="Y48" s="9">
        <f>ROUNDUP(IF((O48-N48+1)*K48*X48/365&gt;R48,R48,(O48-N48+1)*K48*X48/365),2)</f>
        <v>0</v>
      </c>
      <c r="Z48" s="30"/>
      <c r="AA48" s="30"/>
      <c r="AB48" s="9"/>
    </row>
    <row r="49" spans="1:28" s="2" customFormat="1" hidden="1">
      <c r="A49" s="10"/>
      <c r="B49" s="10"/>
      <c r="C49" s="10"/>
      <c r="D49" s="10"/>
      <c r="E49" s="10"/>
      <c r="F49" s="10"/>
      <c r="G49" s="10"/>
      <c r="H49" s="10"/>
      <c r="I49" s="10"/>
      <c r="J49" s="10"/>
      <c r="K49" s="10"/>
      <c r="L49" s="10"/>
      <c r="M49" s="10"/>
      <c r="N49" s="18"/>
      <c r="O49" s="18"/>
      <c r="P49" s="19"/>
      <c r="Q49" s="25"/>
      <c r="R49" s="10"/>
      <c r="S49" s="19">
        <f>P49</f>
        <v>0</v>
      </c>
      <c r="T49" s="25">
        <f>(S49-N48)/360*$U$48*$K$48</f>
        <v>0</v>
      </c>
      <c r="U49" s="25">
        <f>T49-Q49</f>
        <v>0</v>
      </c>
      <c r="V49" s="18"/>
      <c r="W49" s="10"/>
      <c r="X49" s="10"/>
      <c r="Y49" s="10"/>
      <c r="Z49" s="10"/>
      <c r="AA49" s="10"/>
      <c r="AB49" s="10"/>
    </row>
    <row r="50" spans="1:28" s="2" customFormat="1" hidden="1">
      <c r="A50" s="10"/>
      <c r="B50" s="10"/>
      <c r="C50" s="10"/>
      <c r="D50" s="10"/>
      <c r="E50" s="10"/>
      <c r="F50" s="10"/>
      <c r="G50" s="10"/>
      <c r="H50" s="10"/>
      <c r="I50" s="10"/>
      <c r="J50" s="10"/>
      <c r="K50" s="10"/>
      <c r="L50" s="10"/>
      <c r="M50" s="10"/>
      <c r="N50" s="18"/>
      <c r="O50" s="18"/>
      <c r="P50" s="19"/>
      <c r="Q50" s="25"/>
      <c r="R50" s="10"/>
      <c r="S50" s="19">
        <f t="shared" ref="S50" si="8">P50</f>
        <v>0</v>
      </c>
      <c r="T50" s="25">
        <f>(S50-S49)*$U$48*$K$48/360</f>
        <v>0</v>
      </c>
      <c r="U50" s="25">
        <f t="shared" ref="U50" si="9">T50-Q50</f>
        <v>0</v>
      </c>
      <c r="V50" s="10"/>
      <c r="W50" s="10"/>
      <c r="X50" s="10"/>
      <c r="Y50" s="10"/>
      <c r="Z50" s="10"/>
      <c r="AA50" s="10"/>
      <c r="AB50" s="10"/>
    </row>
    <row r="51" spans="1:28" s="2" customFormat="1" hidden="1">
      <c r="A51" s="10"/>
      <c r="B51" s="10"/>
      <c r="C51" s="10"/>
      <c r="D51" s="10"/>
      <c r="E51" s="10"/>
      <c r="F51" s="10"/>
      <c r="G51" s="10"/>
      <c r="H51" s="10"/>
      <c r="I51" s="10"/>
      <c r="J51" s="10"/>
      <c r="K51" s="10"/>
      <c r="L51" s="10"/>
      <c r="M51" s="10"/>
      <c r="N51" s="18"/>
      <c r="O51" s="18"/>
      <c r="P51" s="19"/>
      <c r="Q51" s="25"/>
      <c r="R51" s="10"/>
      <c r="S51" s="19"/>
      <c r="T51" s="25"/>
      <c r="U51" s="25"/>
      <c r="V51" s="10"/>
      <c r="W51" s="10"/>
      <c r="X51" s="10"/>
      <c r="Y51" s="10"/>
      <c r="Z51" s="10"/>
      <c r="AA51" s="10"/>
      <c r="AB51" s="10"/>
    </row>
    <row r="52" spans="1:28" s="2" customFormat="1" hidden="1">
      <c r="A52" s="10"/>
      <c r="B52" s="10"/>
      <c r="C52" s="10"/>
      <c r="D52" s="10"/>
      <c r="E52" s="10"/>
      <c r="F52" s="10"/>
      <c r="G52" s="10"/>
      <c r="H52" s="10"/>
      <c r="I52" s="10"/>
      <c r="J52" s="10"/>
      <c r="K52" s="10"/>
      <c r="L52" s="10"/>
      <c r="M52" s="10"/>
      <c r="N52" s="18"/>
      <c r="O52" s="18"/>
      <c r="P52" s="19"/>
      <c r="Q52" s="25"/>
      <c r="R52" s="10"/>
      <c r="S52" s="19"/>
      <c r="T52" s="25"/>
      <c r="U52" s="25"/>
      <c r="V52" s="10"/>
      <c r="W52" s="10"/>
      <c r="X52" s="10"/>
      <c r="Y52" s="10"/>
      <c r="Z52" s="10"/>
      <c r="AA52" s="10"/>
      <c r="AB52" s="10"/>
    </row>
    <row r="53" spans="1:28" s="2" customFormat="1" hidden="1">
      <c r="A53" s="10"/>
      <c r="B53" s="10"/>
      <c r="C53" s="10"/>
      <c r="D53" s="10"/>
      <c r="E53" s="10"/>
      <c r="F53" s="10"/>
      <c r="G53" s="10"/>
      <c r="H53" s="10"/>
      <c r="I53" s="10"/>
      <c r="J53" s="10"/>
      <c r="K53" s="10"/>
      <c r="L53" s="10"/>
      <c r="M53" s="10"/>
      <c r="N53" s="18"/>
      <c r="O53" s="18"/>
      <c r="P53" s="19"/>
      <c r="Q53" s="25"/>
      <c r="R53" s="10"/>
      <c r="S53" s="19"/>
      <c r="T53" s="25"/>
      <c r="U53" s="25"/>
      <c r="V53" s="10"/>
      <c r="W53" s="10"/>
      <c r="X53" s="10"/>
      <c r="Y53" s="10"/>
      <c r="Z53" s="10"/>
      <c r="AA53" s="10"/>
      <c r="AB53" s="10"/>
    </row>
    <row r="54" spans="1:28" s="2" customFormat="1" hidden="1">
      <c r="A54" s="10"/>
      <c r="B54" s="10"/>
      <c r="C54" s="10"/>
      <c r="D54" s="10"/>
      <c r="E54" s="10"/>
      <c r="F54" s="10"/>
      <c r="G54" s="10"/>
      <c r="H54" s="10"/>
      <c r="I54" s="10"/>
      <c r="J54" s="10"/>
      <c r="K54" s="10"/>
      <c r="L54" s="10"/>
      <c r="M54" s="10"/>
      <c r="N54" s="18"/>
      <c r="O54" s="18"/>
      <c r="P54" s="19"/>
      <c r="Q54" s="25"/>
      <c r="R54" s="10"/>
      <c r="S54" s="19"/>
      <c r="T54" s="25"/>
      <c r="U54" s="25"/>
      <c r="V54" s="10"/>
      <c r="W54" s="10"/>
      <c r="X54" s="10"/>
      <c r="Y54" s="10"/>
      <c r="Z54" s="10"/>
      <c r="AA54" s="10"/>
      <c r="AB54" s="10"/>
    </row>
    <row r="55" spans="1:28" s="2" customFormat="1" hidden="1">
      <c r="A55" s="10"/>
      <c r="B55" s="10"/>
      <c r="C55" s="10"/>
      <c r="D55" s="10"/>
      <c r="E55" s="10"/>
      <c r="F55" s="10"/>
      <c r="G55" s="10"/>
      <c r="H55" s="10"/>
      <c r="I55" s="10"/>
      <c r="J55" s="10"/>
      <c r="K55" s="10"/>
      <c r="L55" s="10"/>
      <c r="M55" s="10"/>
      <c r="N55" s="18"/>
      <c r="O55" s="18"/>
      <c r="P55" s="19"/>
      <c r="Q55" s="25"/>
      <c r="R55" s="10"/>
      <c r="S55" s="19"/>
      <c r="T55" s="25"/>
      <c r="U55" s="25"/>
      <c r="V55" s="10"/>
      <c r="W55" s="10"/>
      <c r="X55" s="10"/>
      <c r="Y55" s="10"/>
      <c r="Z55" s="10"/>
      <c r="AA55" s="10"/>
      <c r="AB55" s="10"/>
    </row>
    <row r="56" spans="1:28" s="2" customFormat="1" hidden="1">
      <c r="A56" s="10"/>
      <c r="B56" s="10"/>
      <c r="C56" s="10"/>
      <c r="D56" s="10"/>
      <c r="E56" s="10"/>
      <c r="F56" s="10"/>
      <c r="G56" s="10"/>
      <c r="H56" s="10"/>
      <c r="I56" s="10"/>
      <c r="J56" s="10"/>
      <c r="K56" s="10"/>
      <c r="L56" s="10"/>
      <c r="M56" s="10"/>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0"/>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0"/>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0"/>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0"/>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0"/>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0"/>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0"/>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0"/>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0"/>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0"/>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0"/>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0"/>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0"/>
      <c r="N69" s="18"/>
      <c r="O69" s="18"/>
      <c r="P69" s="19"/>
      <c r="Q69" s="25"/>
      <c r="R69" s="10"/>
      <c r="S69" s="19"/>
      <c r="T69" s="25"/>
      <c r="U69" s="25"/>
      <c r="V69" s="10"/>
      <c r="W69" s="10"/>
      <c r="X69" s="10"/>
      <c r="Y69" s="10"/>
      <c r="Z69" s="10"/>
      <c r="AA69" s="10"/>
      <c r="AB69" s="10"/>
    </row>
    <row r="70" spans="1:28" s="1" customFormat="1" ht="70" hidden="1">
      <c r="A70" s="9">
        <v>4</v>
      </c>
      <c r="B70" s="9" t="str">
        <f>B48</f>
        <v>四川海力智能科技股份有限公司</v>
      </c>
      <c r="C70" s="9" t="str">
        <f t="shared" ref="C70:G70" si="10">C48</f>
        <v>成都市市场监督管理局</v>
      </c>
      <c r="D70" s="9" t="str">
        <f t="shared" si="10"/>
        <v>91510000779827684C</v>
      </c>
      <c r="E70" s="9" t="str">
        <f t="shared" si="10"/>
        <v>小型</v>
      </c>
      <c r="F70" s="9" t="str">
        <f t="shared" si="10"/>
        <v>成都市成华区税务局</v>
      </c>
      <c r="G70" s="9" t="str">
        <f t="shared" si="10"/>
        <v>51001908608051502125（建行成都新鸿支行）</v>
      </c>
      <c r="H70" s="9"/>
      <c r="I70" s="9"/>
      <c r="J70" s="9"/>
      <c r="K70" s="9"/>
      <c r="L70" s="9"/>
      <c r="M70" s="9"/>
      <c r="N70" s="16"/>
      <c r="O70" s="16"/>
      <c r="P70" s="9"/>
      <c r="Q70" s="22">
        <f>SUM(Q71:Q91)</f>
        <v>0</v>
      </c>
      <c r="R70" s="9"/>
      <c r="S70" s="9"/>
      <c r="T70" s="9">
        <f>SUM(T71:T91)</f>
        <v>0</v>
      </c>
      <c r="U70" s="9"/>
      <c r="V70" s="16"/>
      <c r="W70" s="9"/>
      <c r="X70" s="31"/>
      <c r="Y70" s="9">
        <f>ROUNDUP(IF((O70-N70+1)*K70*X70/365&gt;R70,R70,(O70-N70+1)*K70*X70/365),2)</f>
        <v>0</v>
      </c>
      <c r="Z70" s="9"/>
      <c r="AA70" s="9"/>
      <c r="AB70" s="9"/>
    </row>
    <row r="71" spans="1:28" s="2" customFormat="1" hidden="1">
      <c r="A71" s="10"/>
      <c r="B71" s="10"/>
      <c r="C71" s="10"/>
      <c r="D71" s="10"/>
      <c r="E71" s="10"/>
      <c r="F71" s="10"/>
      <c r="G71" s="10"/>
      <c r="H71" s="10"/>
      <c r="I71" s="10"/>
      <c r="J71" s="10"/>
      <c r="K71" s="10"/>
      <c r="L71" s="10"/>
      <c r="M71" s="10"/>
      <c r="N71" s="18"/>
      <c r="O71" s="18"/>
      <c r="P71" s="19"/>
      <c r="Q71" s="25"/>
      <c r="R71" s="10"/>
      <c r="S71" s="19"/>
      <c r="T71" s="25"/>
      <c r="U71" s="25"/>
      <c r="V71" s="18"/>
      <c r="W71" s="10"/>
      <c r="X71" s="10"/>
      <c r="Y71" s="10"/>
      <c r="Z71" s="10"/>
      <c r="AA71" s="10"/>
      <c r="AB71" s="10"/>
    </row>
    <row r="72" spans="1:28" s="2" customFormat="1" hidden="1">
      <c r="A72" s="10"/>
      <c r="B72" s="10"/>
      <c r="C72" s="10"/>
      <c r="D72" s="10"/>
      <c r="E72" s="10"/>
      <c r="F72" s="10"/>
      <c r="G72" s="10"/>
      <c r="H72" s="10"/>
      <c r="I72" s="10"/>
      <c r="J72" s="10"/>
      <c r="K72" s="10"/>
      <c r="L72" s="10"/>
      <c r="M72" s="10"/>
      <c r="N72" s="18"/>
      <c r="O72" s="18"/>
      <c r="P72" s="19"/>
      <c r="Q72" s="25"/>
      <c r="R72" s="10"/>
      <c r="S72" s="19"/>
      <c r="T72" s="25"/>
      <c r="U72" s="25"/>
      <c r="V72" s="10"/>
      <c r="W72" s="10"/>
      <c r="X72" s="10"/>
      <c r="Y72" s="10"/>
      <c r="Z72" s="10"/>
      <c r="AA72" s="10"/>
      <c r="AB72" s="10"/>
    </row>
    <row r="73" spans="1:28" s="2" customFormat="1" hidden="1">
      <c r="A73" s="10"/>
      <c r="B73" s="10"/>
      <c r="C73" s="10"/>
      <c r="D73" s="10"/>
      <c r="E73" s="10"/>
      <c r="F73" s="10"/>
      <c r="G73" s="10"/>
      <c r="H73" s="10"/>
      <c r="I73" s="10"/>
      <c r="J73" s="10"/>
      <c r="K73" s="10"/>
      <c r="L73" s="10"/>
      <c r="M73" s="10"/>
      <c r="N73" s="18"/>
      <c r="O73" s="18"/>
      <c r="P73" s="19"/>
      <c r="Q73" s="25"/>
      <c r="R73" s="10"/>
      <c r="S73" s="19"/>
      <c r="T73" s="25"/>
      <c r="U73" s="25"/>
      <c r="V73" s="10"/>
      <c r="W73" s="10"/>
      <c r="X73" s="10"/>
      <c r="Y73" s="10"/>
      <c r="Z73" s="10"/>
      <c r="AA73" s="10"/>
      <c r="AB73" s="10"/>
    </row>
    <row r="74" spans="1:28" s="2" customFormat="1" hidden="1">
      <c r="A74" s="10"/>
      <c r="B74" s="10"/>
      <c r="C74" s="10"/>
      <c r="D74" s="10"/>
      <c r="E74" s="10"/>
      <c r="F74" s="10"/>
      <c r="G74" s="10"/>
      <c r="H74" s="10"/>
      <c r="I74" s="10"/>
      <c r="J74" s="10"/>
      <c r="K74" s="10"/>
      <c r="L74" s="10"/>
      <c r="M74" s="10"/>
      <c r="N74" s="18"/>
      <c r="O74" s="18"/>
      <c r="P74" s="19"/>
      <c r="Q74" s="25"/>
      <c r="R74" s="10"/>
      <c r="S74" s="19"/>
      <c r="T74" s="25"/>
      <c r="U74" s="25"/>
      <c r="V74" s="10"/>
      <c r="W74" s="10"/>
      <c r="X74" s="10"/>
      <c r="Y74" s="10"/>
      <c r="Z74" s="10"/>
      <c r="AA74" s="10"/>
      <c r="AB74" s="10"/>
    </row>
    <row r="75" spans="1:28" s="2" customFormat="1" hidden="1">
      <c r="A75" s="10"/>
      <c r="B75" s="10"/>
      <c r="C75" s="10"/>
      <c r="D75" s="10"/>
      <c r="E75" s="10"/>
      <c r="F75" s="10"/>
      <c r="G75" s="10"/>
      <c r="H75" s="10"/>
      <c r="I75" s="10"/>
      <c r="J75" s="10"/>
      <c r="K75" s="10"/>
      <c r="L75" s="10"/>
      <c r="M75" s="10"/>
      <c r="N75" s="18"/>
      <c r="O75" s="18"/>
      <c r="P75" s="19"/>
      <c r="Q75" s="25"/>
      <c r="R75" s="10"/>
      <c r="S75" s="19"/>
      <c r="T75" s="25"/>
      <c r="U75" s="25"/>
      <c r="V75" s="10"/>
      <c r="W75" s="10"/>
      <c r="X75" s="10"/>
      <c r="Y75" s="10"/>
      <c r="Z75" s="10"/>
      <c r="AA75" s="10"/>
      <c r="AB75" s="10"/>
    </row>
    <row r="76" spans="1:28" s="2" customFormat="1" hidden="1">
      <c r="A76" s="10"/>
      <c r="B76" s="10"/>
      <c r="C76" s="10"/>
      <c r="D76" s="10"/>
      <c r="E76" s="10"/>
      <c r="F76" s="10"/>
      <c r="G76" s="10"/>
      <c r="H76" s="10"/>
      <c r="I76" s="10"/>
      <c r="J76" s="10"/>
      <c r="K76" s="10"/>
      <c r="L76" s="10"/>
      <c r="M76" s="10"/>
      <c r="N76" s="18"/>
      <c r="O76" s="18"/>
      <c r="P76" s="19"/>
      <c r="Q76" s="25"/>
      <c r="R76" s="10"/>
      <c r="S76" s="19"/>
      <c r="T76" s="25"/>
      <c r="U76" s="25"/>
      <c r="V76" s="10"/>
      <c r="W76" s="10"/>
      <c r="X76" s="10"/>
      <c r="Y76" s="10"/>
      <c r="Z76" s="10"/>
      <c r="AA76" s="10"/>
      <c r="AB76" s="10"/>
    </row>
    <row r="77" spans="1:28" s="2" customFormat="1" hidden="1">
      <c r="A77" s="10"/>
      <c r="B77" s="10"/>
      <c r="C77" s="10"/>
      <c r="D77" s="10"/>
      <c r="E77" s="10"/>
      <c r="F77" s="10"/>
      <c r="G77" s="10"/>
      <c r="H77" s="10"/>
      <c r="I77" s="10"/>
      <c r="J77" s="10"/>
      <c r="K77" s="10"/>
      <c r="L77" s="10"/>
      <c r="M77" s="10"/>
      <c r="N77" s="18"/>
      <c r="O77" s="18"/>
      <c r="P77" s="19"/>
      <c r="Q77" s="25"/>
      <c r="R77" s="10"/>
      <c r="S77" s="19"/>
      <c r="T77" s="25"/>
      <c r="U77" s="25"/>
      <c r="V77" s="10"/>
      <c r="W77" s="10"/>
      <c r="X77" s="10"/>
      <c r="Y77" s="10"/>
      <c r="Z77" s="10"/>
      <c r="AA77" s="10"/>
      <c r="AB77" s="10"/>
    </row>
    <row r="78" spans="1:28" s="2" customFormat="1" hidden="1">
      <c r="A78" s="10"/>
      <c r="B78" s="10"/>
      <c r="C78" s="10"/>
      <c r="D78" s="10"/>
      <c r="E78" s="10"/>
      <c r="F78" s="10"/>
      <c r="G78" s="10"/>
      <c r="H78" s="10"/>
      <c r="I78" s="10"/>
      <c r="J78" s="10"/>
      <c r="K78" s="10"/>
      <c r="L78" s="10"/>
      <c r="M78" s="10"/>
      <c r="N78" s="18"/>
      <c r="O78" s="18"/>
      <c r="P78" s="19"/>
      <c r="Q78" s="25"/>
      <c r="R78" s="10"/>
      <c r="S78" s="19"/>
      <c r="T78" s="25"/>
      <c r="U78" s="25"/>
      <c r="V78" s="10"/>
      <c r="W78" s="10"/>
      <c r="X78" s="10"/>
      <c r="Y78" s="10"/>
      <c r="Z78" s="10"/>
      <c r="AA78" s="10"/>
      <c r="AB78" s="10"/>
    </row>
    <row r="79" spans="1:28" s="2" customFormat="1" hidden="1">
      <c r="A79" s="10"/>
      <c r="B79" s="10"/>
      <c r="C79" s="10"/>
      <c r="D79" s="10"/>
      <c r="E79" s="10"/>
      <c r="F79" s="10"/>
      <c r="G79" s="10"/>
      <c r="H79" s="10"/>
      <c r="I79" s="10"/>
      <c r="J79" s="10"/>
      <c r="K79" s="10"/>
      <c r="L79" s="10"/>
      <c r="M79" s="10"/>
      <c r="N79" s="18"/>
      <c r="O79" s="18"/>
      <c r="P79" s="19"/>
      <c r="Q79" s="25"/>
      <c r="R79" s="10"/>
      <c r="S79" s="19"/>
      <c r="T79" s="25"/>
      <c r="U79" s="25"/>
      <c r="V79" s="10"/>
      <c r="W79" s="10"/>
      <c r="X79" s="10"/>
      <c r="Y79" s="10"/>
      <c r="Z79" s="10"/>
      <c r="AA79" s="10"/>
      <c r="AB79" s="10"/>
    </row>
    <row r="80" spans="1:28" s="2" customFormat="1" hidden="1">
      <c r="A80" s="10"/>
      <c r="B80" s="10"/>
      <c r="C80" s="10"/>
      <c r="D80" s="10"/>
      <c r="E80" s="10"/>
      <c r="F80" s="10"/>
      <c r="G80" s="10"/>
      <c r="H80" s="10"/>
      <c r="I80" s="10"/>
      <c r="J80" s="10"/>
      <c r="K80" s="10"/>
      <c r="L80" s="10"/>
      <c r="M80" s="10"/>
      <c r="N80" s="18"/>
      <c r="O80" s="18"/>
      <c r="P80" s="19"/>
      <c r="Q80" s="25"/>
      <c r="R80" s="10"/>
      <c r="S80" s="19"/>
      <c r="T80" s="25"/>
      <c r="U80" s="25"/>
      <c r="V80" s="10"/>
      <c r="W80" s="10"/>
      <c r="X80" s="10"/>
      <c r="Y80" s="10"/>
      <c r="Z80" s="10"/>
      <c r="AA80" s="10"/>
      <c r="AB80" s="10"/>
    </row>
    <row r="81" spans="1:28" s="2" customFormat="1" hidden="1">
      <c r="A81" s="10"/>
      <c r="B81" s="10"/>
      <c r="C81" s="10"/>
      <c r="D81" s="10"/>
      <c r="E81" s="10"/>
      <c r="F81" s="10"/>
      <c r="G81" s="10"/>
      <c r="H81" s="10"/>
      <c r="I81" s="10"/>
      <c r="J81" s="10"/>
      <c r="K81" s="10"/>
      <c r="L81" s="10"/>
      <c r="M81" s="10"/>
      <c r="N81" s="18"/>
      <c r="O81" s="18"/>
      <c r="P81" s="19"/>
      <c r="Q81" s="25"/>
      <c r="R81" s="10"/>
      <c r="S81" s="19"/>
      <c r="T81" s="25"/>
      <c r="U81" s="25"/>
      <c r="V81" s="10"/>
      <c r="W81" s="10"/>
      <c r="X81" s="10"/>
      <c r="Y81" s="10"/>
      <c r="Z81" s="10"/>
      <c r="AA81" s="10"/>
      <c r="AB81" s="10"/>
    </row>
    <row r="82" spans="1:28" s="2" customFormat="1" hidden="1">
      <c r="A82" s="10"/>
      <c r="B82" s="10"/>
      <c r="C82" s="10"/>
      <c r="D82" s="10"/>
      <c r="E82" s="10"/>
      <c r="F82" s="10"/>
      <c r="G82" s="10"/>
      <c r="H82" s="10"/>
      <c r="I82" s="10"/>
      <c r="J82" s="10"/>
      <c r="K82" s="10"/>
      <c r="L82" s="10"/>
      <c r="M82" s="10"/>
      <c r="N82" s="18"/>
      <c r="O82" s="18"/>
      <c r="P82" s="19"/>
      <c r="Q82" s="25"/>
      <c r="R82" s="10"/>
      <c r="S82" s="19"/>
      <c r="T82" s="25"/>
      <c r="U82" s="25"/>
      <c r="V82" s="10"/>
      <c r="W82" s="10"/>
      <c r="X82" s="10"/>
      <c r="Y82" s="10"/>
      <c r="Z82" s="10"/>
      <c r="AA82" s="10"/>
      <c r="AB82" s="10"/>
    </row>
    <row r="83" spans="1:28" s="2" customFormat="1" hidden="1">
      <c r="A83" s="10"/>
      <c r="B83" s="10"/>
      <c r="C83" s="10"/>
      <c r="D83" s="10"/>
      <c r="E83" s="10"/>
      <c r="F83" s="10"/>
      <c r="G83" s="10"/>
      <c r="H83" s="10"/>
      <c r="I83" s="10"/>
      <c r="J83" s="10"/>
      <c r="K83" s="10"/>
      <c r="L83" s="10"/>
      <c r="M83" s="10"/>
      <c r="N83" s="18"/>
      <c r="O83" s="18"/>
      <c r="P83" s="19"/>
      <c r="Q83" s="25"/>
      <c r="R83" s="10"/>
      <c r="S83" s="19"/>
      <c r="T83" s="25"/>
      <c r="U83" s="25"/>
      <c r="V83" s="10"/>
      <c r="W83" s="10"/>
      <c r="X83" s="10"/>
      <c r="Y83" s="10"/>
      <c r="Z83" s="10"/>
      <c r="AA83" s="10"/>
      <c r="AB83" s="10"/>
    </row>
    <row r="84" spans="1:28" s="2" customFormat="1" hidden="1">
      <c r="A84" s="10"/>
      <c r="B84" s="10"/>
      <c r="C84" s="10"/>
      <c r="D84" s="10"/>
      <c r="E84" s="10"/>
      <c r="F84" s="10"/>
      <c r="G84" s="10"/>
      <c r="H84" s="10"/>
      <c r="I84" s="10"/>
      <c r="J84" s="10"/>
      <c r="K84" s="10"/>
      <c r="L84" s="10"/>
      <c r="M84" s="10"/>
      <c r="N84" s="18"/>
      <c r="O84" s="18"/>
      <c r="P84" s="19"/>
      <c r="Q84" s="25"/>
      <c r="R84" s="10"/>
      <c r="S84" s="19"/>
      <c r="T84" s="25"/>
      <c r="U84" s="25"/>
      <c r="V84" s="10"/>
      <c r="W84" s="10"/>
      <c r="X84" s="10"/>
      <c r="Y84" s="10"/>
      <c r="Z84" s="10"/>
      <c r="AA84" s="10"/>
      <c r="AB84" s="10"/>
    </row>
    <row r="85" spans="1:28" s="2" customFormat="1" hidden="1">
      <c r="A85" s="10"/>
      <c r="B85" s="10"/>
      <c r="C85" s="10"/>
      <c r="D85" s="10"/>
      <c r="E85" s="10"/>
      <c r="F85" s="10"/>
      <c r="G85" s="10"/>
      <c r="H85" s="10"/>
      <c r="I85" s="10"/>
      <c r="J85" s="10"/>
      <c r="K85" s="10"/>
      <c r="L85" s="10"/>
      <c r="M85" s="10"/>
      <c r="N85" s="18"/>
      <c r="O85" s="18"/>
      <c r="P85" s="19"/>
      <c r="Q85" s="25"/>
      <c r="R85" s="10"/>
      <c r="S85" s="19"/>
      <c r="T85" s="25"/>
      <c r="U85" s="25"/>
      <c r="V85" s="10"/>
      <c r="W85" s="10"/>
      <c r="X85" s="10"/>
      <c r="Y85" s="10"/>
      <c r="Z85" s="10"/>
      <c r="AA85" s="10"/>
      <c r="AB85" s="10"/>
    </row>
    <row r="86" spans="1:28" s="2" customFormat="1" hidden="1">
      <c r="A86" s="10"/>
      <c r="B86" s="10"/>
      <c r="C86" s="10"/>
      <c r="D86" s="10"/>
      <c r="E86" s="10"/>
      <c r="F86" s="10"/>
      <c r="G86" s="10"/>
      <c r="H86" s="10"/>
      <c r="I86" s="10"/>
      <c r="J86" s="10"/>
      <c r="K86" s="10"/>
      <c r="L86" s="10"/>
      <c r="M86" s="10"/>
      <c r="N86" s="18"/>
      <c r="O86" s="18"/>
      <c r="P86" s="19"/>
      <c r="Q86" s="25"/>
      <c r="R86" s="10"/>
      <c r="S86" s="19"/>
      <c r="T86" s="25"/>
      <c r="U86" s="25"/>
      <c r="V86" s="10"/>
      <c r="W86" s="10"/>
      <c r="X86" s="10"/>
      <c r="Y86" s="10"/>
      <c r="Z86" s="10"/>
      <c r="AA86" s="10"/>
      <c r="AB86" s="10"/>
    </row>
    <row r="87" spans="1:28" s="2" customFormat="1" hidden="1">
      <c r="A87" s="10"/>
      <c r="B87" s="10"/>
      <c r="C87" s="10"/>
      <c r="D87" s="10"/>
      <c r="E87" s="10"/>
      <c r="F87" s="10"/>
      <c r="G87" s="10"/>
      <c r="H87" s="10"/>
      <c r="I87" s="10"/>
      <c r="J87" s="10"/>
      <c r="K87" s="10"/>
      <c r="L87" s="10"/>
      <c r="M87" s="10"/>
      <c r="N87" s="18"/>
      <c r="O87" s="18"/>
      <c r="P87" s="19"/>
      <c r="Q87" s="25"/>
      <c r="R87" s="10"/>
      <c r="S87" s="19"/>
      <c r="T87" s="25"/>
      <c r="U87" s="25"/>
      <c r="V87" s="10"/>
      <c r="W87" s="10"/>
      <c r="X87" s="10"/>
      <c r="Y87" s="10"/>
      <c r="Z87" s="10"/>
      <c r="AA87" s="10"/>
      <c r="AB87" s="10"/>
    </row>
    <row r="88" spans="1:28" s="2" customFormat="1" hidden="1">
      <c r="A88" s="10"/>
      <c r="B88" s="10"/>
      <c r="C88" s="10"/>
      <c r="D88" s="10"/>
      <c r="E88" s="10"/>
      <c r="F88" s="10"/>
      <c r="G88" s="10"/>
      <c r="H88" s="10"/>
      <c r="I88" s="10"/>
      <c r="J88" s="10"/>
      <c r="K88" s="10"/>
      <c r="L88" s="10"/>
      <c r="M88" s="10"/>
      <c r="N88" s="18"/>
      <c r="O88" s="18"/>
      <c r="P88" s="19"/>
      <c r="Q88" s="25"/>
      <c r="R88" s="10"/>
      <c r="S88" s="19"/>
      <c r="T88" s="25"/>
      <c r="U88" s="25"/>
      <c r="V88" s="10"/>
      <c r="W88" s="10"/>
      <c r="X88" s="10"/>
      <c r="Y88" s="10"/>
      <c r="Z88" s="10"/>
      <c r="AA88" s="10"/>
      <c r="AB88" s="10"/>
    </row>
    <row r="89" spans="1:28" s="2" customFormat="1" hidden="1">
      <c r="A89" s="10"/>
      <c r="B89" s="10"/>
      <c r="C89" s="10"/>
      <c r="D89" s="10"/>
      <c r="E89" s="10"/>
      <c r="F89" s="10"/>
      <c r="G89" s="10"/>
      <c r="H89" s="10"/>
      <c r="I89" s="10"/>
      <c r="J89" s="10"/>
      <c r="K89" s="10"/>
      <c r="L89" s="10"/>
      <c r="M89" s="10"/>
      <c r="N89" s="18"/>
      <c r="O89" s="18"/>
      <c r="P89" s="19"/>
      <c r="Q89" s="25"/>
      <c r="R89" s="10"/>
      <c r="S89" s="19"/>
      <c r="T89" s="25"/>
      <c r="U89" s="25"/>
      <c r="V89" s="10"/>
      <c r="W89" s="10"/>
      <c r="X89" s="10"/>
      <c r="Y89" s="10"/>
      <c r="Z89" s="10"/>
      <c r="AA89" s="10"/>
      <c r="AB89" s="10"/>
    </row>
    <row r="90" spans="1:28" s="2" customFormat="1" hidden="1">
      <c r="A90" s="10"/>
      <c r="B90" s="10"/>
      <c r="C90" s="10"/>
      <c r="D90" s="10"/>
      <c r="E90" s="10"/>
      <c r="F90" s="10"/>
      <c r="G90" s="10"/>
      <c r="H90" s="10"/>
      <c r="I90" s="10"/>
      <c r="J90" s="10"/>
      <c r="K90" s="10"/>
      <c r="L90" s="10"/>
      <c r="M90" s="10"/>
      <c r="N90" s="18"/>
      <c r="O90" s="18"/>
      <c r="P90" s="19"/>
      <c r="Q90" s="25"/>
      <c r="R90" s="10"/>
      <c r="S90" s="19"/>
      <c r="T90" s="25"/>
      <c r="U90" s="25"/>
      <c r="V90" s="10"/>
      <c r="W90" s="10"/>
      <c r="X90" s="10"/>
      <c r="Y90" s="10"/>
      <c r="Z90" s="10"/>
      <c r="AA90" s="10"/>
      <c r="AB90" s="10"/>
    </row>
    <row r="91" spans="1:28" s="2" customFormat="1" hidden="1">
      <c r="A91" s="10"/>
      <c r="B91" s="10"/>
      <c r="C91" s="10"/>
      <c r="D91" s="10"/>
      <c r="E91" s="10"/>
      <c r="F91" s="10"/>
      <c r="G91" s="10"/>
      <c r="H91" s="10"/>
      <c r="I91" s="10"/>
      <c r="J91" s="10"/>
      <c r="K91" s="10"/>
      <c r="L91" s="10"/>
      <c r="M91" s="10"/>
      <c r="N91" s="18"/>
      <c r="O91" s="18"/>
      <c r="P91" s="19"/>
      <c r="Q91" s="25"/>
      <c r="R91" s="10"/>
      <c r="S91" s="19"/>
      <c r="T91" s="25"/>
      <c r="U91" s="25"/>
      <c r="V91" s="10"/>
      <c r="W91" s="10"/>
      <c r="X91" s="10"/>
      <c r="Y91" s="10"/>
      <c r="Z91" s="10"/>
      <c r="AA91" s="10"/>
      <c r="AB91" s="10"/>
    </row>
    <row r="92" spans="1:28" s="1" customFormat="1" ht="70" hidden="1">
      <c r="A92" s="9">
        <v>5</v>
      </c>
      <c r="B92" s="9" t="str">
        <f>B70</f>
        <v>四川海力智能科技股份有限公司</v>
      </c>
      <c r="C92" s="9" t="str">
        <f t="shared" ref="C92:G92" si="11">C70</f>
        <v>成都市市场监督管理局</v>
      </c>
      <c r="D92" s="9" t="str">
        <f t="shared" si="11"/>
        <v>91510000779827684C</v>
      </c>
      <c r="E92" s="9" t="str">
        <f t="shared" si="11"/>
        <v>小型</v>
      </c>
      <c r="F92" s="9" t="str">
        <f t="shared" si="11"/>
        <v>成都市成华区税务局</v>
      </c>
      <c r="G92" s="9" t="str">
        <f t="shared" si="11"/>
        <v>51001908608051502125（建行成都新鸿支行）</v>
      </c>
      <c r="H92" s="9"/>
      <c r="I92" s="9"/>
      <c r="J92" s="9"/>
      <c r="K92" s="9"/>
      <c r="L92" s="9"/>
      <c r="M92" s="9"/>
      <c r="N92" s="16"/>
      <c r="O92" s="16"/>
      <c r="P92" s="9"/>
      <c r="Q92" s="22">
        <f>SUM(Q93:Q113)</f>
        <v>0</v>
      </c>
      <c r="R92" s="9"/>
      <c r="S92" s="9"/>
      <c r="T92" s="9">
        <f>SUM(T93:T113)</f>
        <v>0</v>
      </c>
      <c r="U92" s="9"/>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0"/>
      <c r="N93" s="18"/>
      <c r="O93" s="18"/>
      <c r="P93" s="19"/>
      <c r="Q93" s="25"/>
      <c r="R93" s="10"/>
      <c r="S93" s="19"/>
      <c r="T93" s="25"/>
      <c r="U93" s="25"/>
      <c r="V93" s="18"/>
      <c r="W93" s="10"/>
      <c r="X93" s="10"/>
      <c r="Y93" s="10"/>
      <c r="Z93" s="10"/>
      <c r="AA93" s="10"/>
      <c r="AB93" s="10"/>
    </row>
    <row r="94" spans="1:28" s="2" customFormat="1" hidden="1">
      <c r="A94" s="10"/>
      <c r="B94" s="10"/>
      <c r="C94" s="10"/>
      <c r="D94" s="10"/>
      <c r="E94" s="10"/>
      <c r="F94" s="10"/>
      <c r="G94" s="10"/>
      <c r="H94" s="10"/>
      <c r="I94" s="10"/>
      <c r="J94" s="10"/>
      <c r="K94" s="10"/>
      <c r="L94" s="10"/>
      <c r="M94" s="10"/>
      <c r="N94" s="18"/>
      <c r="O94" s="18"/>
      <c r="P94" s="19"/>
      <c r="Q94" s="25"/>
      <c r="R94" s="10"/>
      <c r="S94" s="19"/>
      <c r="T94" s="25"/>
      <c r="U94" s="25"/>
      <c r="V94" s="10"/>
      <c r="W94" s="10"/>
      <c r="X94" s="10"/>
      <c r="Y94" s="10"/>
      <c r="Z94" s="10"/>
      <c r="AA94" s="10"/>
      <c r="AB94" s="10"/>
    </row>
    <row r="95" spans="1:28" s="2" customFormat="1" hidden="1">
      <c r="A95" s="10"/>
      <c r="B95" s="10"/>
      <c r="C95" s="10"/>
      <c r="D95" s="10"/>
      <c r="E95" s="10"/>
      <c r="F95" s="10"/>
      <c r="G95" s="10"/>
      <c r="H95" s="10"/>
      <c r="I95" s="10"/>
      <c r="J95" s="10"/>
      <c r="K95" s="10"/>
      <c r="L95" s="10"/>
      <c r="M95" s="10"/>
      <c r="N95" s="18"/>
      <c r="O95" s="18"/>
      <c r="P95" s="19"/>
      <c r="Q95" s="25"/>
      <c r="R95" s="10"/>
      <c r="S95" s="19"/>
      <c r="T95" s="25"/>
      <c r="U95" s="25"/>
      <c r="V95" s="10"/>
      <c r="W95" s="10"/>
      <c r="X95" s="10"/>
      <c r="Y95" s="10"/>
      <c r="Z95" s="10"/>
      <c r="AA95" s="10"/>
      <c r="AB95" s="10"/>
    </row>
    <row r="96" spans="1:28" s="2" customFormat="1" hidden="1">
      <c r="A96" s="10"/>
      <c r="B96" s="10"/>
      <c r="C96" s="10"/>
      <c r="D96" s="10"/>
      <c r="E96" s="10"/>
      <c r="F96" s="10"/>
      <c r="G96" s="10"/>
      <c r="H96" s="10"/>
      <c r="I96" s="10"/>
      <c r="J96" s="10"/>
      <c r="K96" s="10"/>
      <c r="L96" s="10"/>
      <c r="M96" s="10"/>
      <c r="N96" s="18"/>
      <c r="O96" s="18"/>
      <c r="P96" s="19"/>
      <c r="Q96" s="25"/>
      <c r="R96" s="10"/>
      <c r="S96" s="19"/>
      <c r="T96" s="25"/>
      <c r="U96" s="25"/>
      <c r="V96" s="10"/>
      <c r="W96" s="10"/>
      <c r="X96" s="10"/>
      <c r="Y96" s="10"/>
      <c r="Z96" s="10"/>
      <c r="AA96" s="10"/>
      <c r="AB96" s="10"/>
    </row>
    <row r="97" spans="1:28" s="2" customFormat="1" hidden="1">
      <c r="A97" s="10"/>
      <c r="B97" s="10"/>
      <c r="C97" s="10"/>
      <c r="D97" s="10"/>
      <c r="E97" s="10"/>
      <c r="F97" s="10"/>
      <c r="G97" s="10"/>
      <c r="H97" s="10"/>
      <c r="I97" s="10"/>
      <c r="J97" s="10"/>
      <c r="K97" s="10"/>
      <c r="L97" s="10"/>
      <c r="M97" s="10"/>
      <c r="N97" s="18"/>
      <c r="O97" s="18"/>
      <c r="P97" s="19"/>
      <c r="Q97" s="25"/>
      <c r="R97" s="10"/>
      <c r="S97" s="19"/>
      <c r="T97" s="25"/>
      <c r="U97" s="25"/>
      <c r="V97" s="10"/>
      <c r="W97" s="10"/>
      <c r="X97" s="10"/>
      <c r="Y97" s="10"/>
      <c r="Z97" s="10"/>
      <c r="AA97" s="10"/>
      <c r="AB97" s="10"/>
    </row>
    <row r="98" spans="1:28" s="2" customFormat="1" hidden="1">
      <c r="A98" s="10"/>
      <c r="B98" s="10"/>
      <c r="C98" s="10"/>
      <c r="D98" s="10"/>
      <c r="E98" s="10"/>
      <c r="F98" s="10"/>
      <c r="G98" s="10"/>
      <c r="H98" s="10"/>
      <c r="I98" s="10"/>
      <c r="J98" s="10"/>
      <c r="K98" s="10"/>
      <c r="L98" s="10"/>
      <c r="M98" s="10"/>
      <c r="N98" s="18"/>
      <c r="O98" s="18"/>
      <c r="P98" s="19"/>
      <c r="Q98" s="25"/>
      <c r="R98" s="10"/>
      <c r="S98" s="19"/>
      <c r="T98" s="25"/>
      <c r="U98" s="25"/>
      <c r="V98" s="10"/>
      <c r="W98" s="10"/>
      <c r="X98" s="10"/>
      <c r="Y98" s="10"/>
      <c r="Z98" s="10"/>
      <c r="AA98" s="10"/>
      <c r="AB98" s="10"/>
    </row>
    <row r="99" spans="1:28" s="2" customFormat="1" hidden="1">
      <c r="A99" s="10"/>
      <c r="B99" s="10"/>
      <c r="C99" s="10"/>
      <c r="D99" s="10"/>
      <c r="E99" s="10"/>
      <c r="F99" s="10"/>
      <c r="G99" s="10"/>
      <c r="H99" s="10"/>
      <c r="I99" s="10"/>
      <c r="J99" s="10"/>
      <c r="K99" s="10"/>
      <c r="L99" s="10"/>
      <c r="M99" s="10"/>
      <c r="N99" s="18"/>
      <c r="O99" s="18"/>
      <c r="P99" s="19"/>
      <c r="Q99" s="25"/>
      <c r="R99" s="10"/>
      <c r="S99" s="19"/>
      <c r="T99" s="25"/>
      <c r="U99" s="25"/>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0"/>
      <c r="N100" s="18"/>
      <c r="O100" s="18"/>
      <c r="P100" s="19"/>
      <c r="Q100" s="25"/>
      <c r="R100" s="10"/>
      <c r="S100" s="19"/>
      <c r="T100" s="25"/>
      <c r="U100" s="25"/>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0"/>
      <c r="N101" s="18"/>
      <c r="O101" s="18"/>
      <c r="P101" s="19"/>
      <c r="Q101" s="25"/>
      <c r="R101" s="10"/>
      <c r="S101" s="19"/>
      <c r="T101" s="25"/>
      <c r="U101" s="25"/>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0"/>
      <c r="N102" s="18"/>
      <c r="O102" s="18"/>
      <c r="P102" s="19"/>
      <c r="Q102" s="25"/>
      <c r="R102" s="10"/>
      <c r="S102" s="19"/>
      <c r="T102" s="25"/>
      <c r="U102" s="25"/>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0"/>
      <c r="N103" s="18"/>
      <c r="O103" s="18"/>
      <c r="P103" s="19"/>
      <c r="Q103" s="25"/>
      <c r="R103" s="10"/>
      <c r="S103" s="19"/>
      <c r="T103" s="25"/>
      <c r="U103" s="25"/>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0"/>
      <c r="N104" s="18"/>
      <c r="O104" s="18"/>
      <c r="P104" s="19"/>
      <c r="Q104" s="25"/>
      <c r="R104" s="10"/>
      <c r="S104" s="19"/>
      <c r="T104" s="25"/>
      <c r="U104" s="25"/>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0"/>
      <c r="N105" s="18"/>
      <c r="O105" s="18"/>
      <c r="P105" s="19"/>
      <c r="Q105" s="25"/>
      <c r="R105" s="10"/>
      <c r="S105" s="19"/>
      <c r="T105" s="25"/>
      <c r="U105" s="25"/>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0"/>
      <c r="N106" s="18"/>
      <c r="O106" s="18"/>
      <c r="P106" s="19"/>
      <c r="Q106" s="25"/>
      <c r="R106" s="10"/>
      <c r="S106" s="19"/>
      <c r="T106" s="25"/>
      <c r="U106" s="25"/>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0"/>
      <c r="N107" s="18"/>
      <c r="O107" s="18"/>
      <c r="P107" s="19"/>
      <c r="Q107" s="25"/>
      <c r="R107" s="10"/>
      <c r="S107" s="19"/>
      <c r="T107" s="25"/>
      <c r="U107" s="25"/>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0"/>
      <c r="N108" s="18"/>
      <c r="O108" s="18"/>
      <c r="P108" s="19"/>
      <c r="Q108" s="25"/>
      <c r="R108" s="10"/>
      <c r="S108" s="19"/>
      <c r="T108" s="25"/>
      <c r="U108" s="25"/>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0"/>
      <c r="N109" s="18"/>
      <c r="O109" s="18"/>
      <c r="P109" s="19"/>
      <c r="Q109" s="25"/>
      <c r="R109" s="10"/>
      <c r="S109" s="19"/>
      <c r="T109" s="25"/>
      <c r="U109" s="25"/>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0"/>
      <c r="N110" s="18"/>
      <c r="O110" s="18"/>
      <c r="P110" s="19"/>
      <c r="Q110" s="25"/>
      <c r="R110" s="10"/>
      <c r="S110" s="19"/>
      <c r="T110" s="25"/>
      <c r="U110" s="25"/>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0"/>
      <c r="N111" s="18"/>
      <c r="O111" s="18"/>
      <c r="P111" s="19"/>
      <c r="Q111" s="25"/>
      <c r="R111" s="10"/>
      <c r="S111" s="19"/>
      <c r="T111" s="25"/>
      <c r="U111" s="25"/>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0"/>
      <c r="N112" s="18"/>
      <c r="O112" s="18"/>
      <c r="P112" s="19"/>
      <c r="Q112" s="25"/>
      <c r="R112" s="10"/>
      <c r="S112" s="19"/>
      <c r="T112" s="25"/>
      <c r="U112" s="25"/>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0"/>
      <c r="N113" s="18"/>
      <c r="O113" s="18"/>
      <c r="P113" s="19"/>
      <c r="Q113" s="25"/>
      <c r="R113" s="10"/>
      <c r="S113" s="19"/>
      <c r="T113" s="25"/>
      <c r="U113" s="25"/>
      <c r="V113" s="10"/>
      <c r="W113" s="10"/>
      <c r="X113" s="10"/>
      <c r="Y113" s="10"/>
      <c r="Z113" s="10"/>
      <c r="AA113" s="10"/>
      <c r="AB113" s="10"/>
    </row>
    <row r="114" spans="1:28" s="1" customFormat="1">
      <c r="A114" s="9" t="s">
        <v>48</v>
      </c>
      <c r="B114" s="9"/>
      <c r="C114" s="9"/>
      <c r="D114" s="9"/>
      <c r="E114" s="9"/>
      <c r="F114" s="9"/>
      <c r="G114" s="9"/>
      <c r="H114" s="9"/>
      <c r="I114" s="9"/>
      <c r="J114" s="9"/>
      <c r="K114" s="9">
        <f>K92+K70+K48+K26++K4</f>
        <v>600</v>
      </c>
      <c r="L114" s="9"/>
      <c r="M114" s="9"/>
      <c r="N114" s="16"/>
      <c r="O114" s="16"/>
      <c r="P114" s="9"/>
      <c r="Q114" s="9"/>
      <c r="R114" s="9">
        <f>R92+R70+R48+R26++R4</f>
        <v>4.6100000000000003</v>
      </c>
      <c r="S114" s="9"/>
      <c r="T114" s="9"/>
      <c r="U114" s="9"/>
      <c r="V114" s="9"/>
      <c r="W114" s="9"/>
      <c r="X114" s="9"/>
      <c r="Y114" s="9">
        <f>Y92+Y70+Y48+Y26++Y4</f>
        <v>0</v>
      </c>
      <c r="Z114" s="9"/>
      <c r="AA114" s="9"/>
      <c r="AB114" s="9"/>
    </row>
    <row r="115" spans="1:28">
      <c r="I115" t="s">
        <v>49</v>
      </c>
      <c r="K115">
        <f>IF(K114&gt;3000,K116,K114)</f>
        <v>600</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D116"/>
  <sheetViews>
    <sheetView topLeftCell="O1" workbookViewId="0">
      <pane ySplit="3" topLeftCell="A4" activePane="bottomLeft" state="frozen"/>
      <selection pane="bottomLeft" activeCell="T131" sqref="T131"/>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成都朝合普尔航空科技股份有限公司审计明细表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597</v>
      </c>
      <c r="C4" s="71" t="s">
        <v>870</v>
      </c>
      <c r="D4" s="43" t="s">
        <v>871</v>
      </c>
      <c r="E4" s="71" t="s">
        <v>872</v>
      </c>
      <c r="F4" s="43" t="s">
        <v>873</v>
      </c>
      <c r="G4" s="43" t="s">
        <v>874</v>
      </c>
      <c r="H4" s="71" t="s">
        <v>875</v>
      </c>
      <c r="I4" s="43" t="s">
        <v>876</v>
      </c>
      <c r="J4" s="71" t="s">
        <v>58</v>
      </c>
      <c r="K4" s="71">
        <v>1400</v>
      </c>
      <c r="L4" s="43" t="s">
        <v>877</v>
      </c>
      <c r="M4" s="49" t="s">
        <v>878</v>
      </c>
      <c r="N4" s="68">
        <v>45258</v>
      </c>
      <c r="O4" s="50">
        <v>45291</v>
      </c>
      <c r="P4" s="43">
        <f>P6-N4</f>
        <v>54</v>
      </c>
      <c r="Q4" s="55">
        <f>SUM(Q5:Q25)</f>
        <v>7.97</v>
      </c>
      <c r="R4" s="55">
        <v>2.64</v>
      </c>
      <c r="S4" s="43"/>
      <c r="T4" s="55">
        <f>SUM(T5:T25)</f>
        <v>7.98</v>
      </c>
      <c r="U4" s="56">
        <v>3.7999999999999999E-2</v>
      </c>
      <c r="V4" s="50"/>
      <c r="W4" s="43" t="s">
        <v>42</v>
      </c>
      <c r="X4" s="77">
        <v>0.02</v>
      </c>
      <c r="Y4" s="43">
        <f>ROUNDDOWN(IF((O4-N4+1)*K4*X4/365&gt;R4,R4,(O4-N4+1)*K4*X4/365),2)</f>
        <v>2.6</v>
      </c>
      <c r="Z4" s="55">
        <f>R4-Y4</f>
        <v>0.04</v>
      </c>
      <c r="AA4" s="55" t="s">
        <v>43</v>
      </c>
      <c r="AB4" s="43" t="s">
        <v>61</v>
      </c>
      <c r="AD4" s="61">
        <f>(O4-N4+1)*K4*X4/365</f>
        <v>2.6082000000000001</v>
      </c>
    </row>
    <row r="5" spans="1:30" s="35" customFormat="1">
      <c r="A5" s="44"/>
      <c r="B5" s="44"/>
      <c r="C5" s="44"/>
      <c r="D5" s="44"/>
      <c r="E5" s="42"/>
      <c r="F5" s="44"/>
      <c r="G5" s="44"/>
      <c r="H5" s="42"/>
      <c r="I5" s="44"/>
      <c r="J5" s="42"/>
      <c r="K5" s="42"/>
      <c r="L5" s="44"/>
      <c r="M5" s="51"/>
      <c r="N5" s="52"/>
      <c r="O5" s="50">
        <v>45622</v>
      </c>
      <c r="P5" s="75">
        <v>45281</v>
      </c>
      <c r="Q5" s="58">
        <v>3.39</v>
      </c>
      <c r="R5" s="44"/>
      <c r="S5" s="75">
        <v>45281</v>
      </c>
      <c r="T5" s="58">
        <f>(S5-N4)/360*$U$4*$K$4</f>
        <v>3.4</v>
      </c>
      <c r="U5" s="94">
        <f>T5-Q5</f>
        <v>0.01</v>
      </c>
      <c r="V5" s="52"/>
      <c r="W5" s="58"/>
      <c r="X5" s="42"/>
      <c r="Y5" s="44">
        <f>ROUNDDOWN((V5-N4)*K4*X4/365,2)</f>
        <v>-3471.84</v>
      </c>
      <c r="Z5" s="44"/>
      <c r="AA5" s="44"/>
      <c r="AB5" s="44"/>
    </row>
    <row r="6" spans="1:30" s="35" customFormat="1">
      <c r="A6" s="44"/>
      <c r="B6" s="44"/>
      <c r="C6" s="44"/>
      <c r="D6" s="44"/>
      <c r="E6" s="42"/>
      <c r="F6" s="44"/>
      <c r="G6" s="44"/>
      <c r="H6" s="42"/>
      <c r="I6" s="44"/>
      <c r="J6" s="42"/>
      <c r="K6" s="42"/>
      <c r="L6" s="44"/>
      <c r="M6" s="51"/>
      <c r="N6" s="52"/>
      <c r="O6" s="52"/>
      <c r="P6" s="75">
        <v>45312</v>
      </c>
      <c r="Q6" s="58">
        <v>4.58</v>
      </c>
      <c r="R6" s="44"/>
      <c r="S6" s="75">
        <v>45312</v>
      </c>
      <c r="T6" s="58">
        <f>(S6-S5)*$K$4*$U$4/360</f>
        <v>4.58</v>
      </c>
      <c r="U6" s="78">
        <f>T6-Q6</f>
        <v>0</v>
      </c>
      <c r="V6" s="75"/>
      <c r="W6" s="58"/>
      <c r="X6" s="42"/>
      <c r="Y6" s="44"/>
      <c r="Z6" s="44"/>
      <c r="AA6" s="44"/>
      <c r="AB6" s="44"/>
    </row>
    <row r="7" spans="1:30" s="35" customFormat="1" hidden="1">
      <c r="A7" s="44"/>
      <c r="B7" s="44"/>
      <c r="C7" s="44"/>
      <c r="D7" s="44"/>
      <c r="E7" s="42"/>
      <c r="F7" s="44"/>
      <c r="G7" s="44"/>
      <c r="H7" s="42"/>
      <c r="I7" s="44"/>
      <c r="J7" s="42"/>
      <c r="K7" s="42"/>
      <c r="L7" s="44"/>
      <c r="M7" s="51"/>
      <c r="N7" s="52"/>
      <c r="O7" s="52"/>
      <c r="P7" s="75"/>
      <c r="Q7" s="58"/>
      <c r="R7" s="44"/>
      <c r="S7" s="75"/>
      <c r="T7" s="58"/>
      <c r="U7" s="78"/>
      <c r="V7" s="75"/>
      <c r="W7" s="58"/>
      <c r="X7" s="42"/>
      <c r="Y7" s="44"/>
      <c r="Z7" s="44"/>
      <c r="AA7" s="44"/>
      <c r="AB7" s="44"/>
    </row>
    <row r="8" spans="1:30" s="35" customFormat="1" hidden="1">
      <c r="A8" s="44"/>
      <c r="B8" s="44"/>
      <c r="C8" s="44"/>
      <c r="D8" s="44"/>
      <c r="E8" s="42"/>
      <c r="F8" s="44"/>
      <c r="G8" s="44"/>
      <c r="H8" s="42"/>
      <c r="I8" s="44"/>
      <c r="J8" s="42"/>
      <c r="K8" s="42"/>
      <c r="L8" s="44"/>
      <c r="M8" s="51"/>
      <c r="N8" s="52"/>
      <c r="O8" s="52"/>
      <c r="P8" s="75"/>
      <c r="Q8" s="58"/>
      <c r="R8" s="44"/>
      <c r="S8" s="75"/>
      <c r="T8" s="58"/>
      <c r="U8" s="78"/>
      <c r="V8" s="75"/>
      <c r="W8" s="58"/>
      <c r="X8" s="42"/>
      <c r="Y8" s="44"/>
      <c r="Z8" s="44"/>
      <c r="AA8" s="44"/>
      <c r="AB8" s="44"/>
    </row>
    <row r="9" spans="1:30" s="35" customFormat="1" hidden="1">
      <c r="A9" s="44"/>
      <c r="B9" s="44"/>
      <c r="C9" s="44"/>
      <c r="D9" s="44"/>
      <c r="E9" s="42"/>
      <c r="F9" s="44"/>
      <c r="G9" s="44"/>
      <c r="H9" s="42"/>
      <c r="I9" s="44"/>
      <c r="J9" s="42"/>
      <c r="K9" s="42"/>
      <c r="L9" s="44"/>
      <c r="M9" s="51"/>
      <c r="N9" s="52"/>
      <c r="O9" s="52"/>
      <c r="P9" s="75"/>
      <c r="Q9" s="58"/>
      <c r="R9" s="44"/>
      <c r="S9" s="75"/>
      <c r="T9" s="58"/>
      <c r="U9" s="78"/>
      <c r="V9" s="75"/>
      <c r="W9" s="58"/>
      <c r="X9" s="42"/>
      <c r="Y9" s="44"/>
      <c r="Z9" s="44"/>
      <c r="AA9" s="44"/>
      <c r="AB9" s="44"/>
    </row>
    <row r="10" spans="1:30" s="35" customFormat="1" hidden="1">
      <c r="A10" s="44"/>
      <c r="B10" s="44"/>
      <c r="C10" s="44"/>
      <c r="D10" s="44"/>
      <c r="E10" s="42"/>
      <c r="F10" s="44"/>
      <c r="G10" s="44"/>
      <c r="H10" s="42"/>
      <c r="I10" s="44"/>
      <c r="J10" s="42"/>
      <c r="K10" s="42"/>
      <c r="L10" s="44"/>
      <c r="M10" s="51"/>
      <c r="N10" s="52"/>
      <c r="O10" s="52"/>
      <c r="P10" s="75"/>
      <c r="Q10" s="58"/>
      <c r="R10" s="44"/>
      <c r="S10" s="75"/>
      <c r="T10" s="58"/>
      <c r="U10" s="78"/>
      <c r="V10" s="75"/>
      <c r="W10" s="58"/>
      <c r="X10" s="42"/>
      <c r="Y10" s="44"/>
      <c r="Z10" s="44"/>
      <c r="AA10" s="44"/>
      <c r="AB10" s="44"/>
    </row>
    <row r="11" spans="1:30" s="35" customFormat="1" hidden="1">
      <c r="A11" s="44"/>
      <c r="B11" s="44"/>
      <c r="C11" s="44"/>
      <c r="D11" s="44"/>
      <c r="E11" s="42"/>
      <c r="F11" s="44"/>
      <c r="G11" s="44"/>
      <c r="H11" s="42"/>
      <c r="I11" s="44"/>
      <c r="J11" s="42"/>
      <c r="K11" s="42"/>
      <c r="L11" s="44"/>
      <c r="M11" s="51"/>
      <c r="N11" s="52"/>
      <c r="O11" s="52"/>
      <c r="P11" s="75"/>
      <c r="Q11" s="58"/>
      <c r="R11" s="44"/>
      <c r="S11" s="75"/>
      <c r="T11" s="58"/>
      <c r="U11" s="78"/>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hidden="1" customHeight="1">
      <c r="A26" s="43"/>
      <c r="B26" s="43"/>
      <c r="C26" s="43"/>
      <c r="D26" s="43"/>
      <c r="E26" s="71"/>
      <c r="F26" s="43"/>
      <c r="G26" s="43"/>
      <c r="H26" s="71"/>
      <c r="I26" s="43"/>
      <c r="J26" s="71"/>
      <c r="K26" s="71"/>
      <c r="L26" s="43"/>
      <c r="M26" s="49"/>
      <c r="N26" s="50"/>
      <c r="O26" s="50"/>
      <c r="P26" s="43"/>
      <c r="Q26" s="55"/>
      <c r="R26" s="55"/>
      <c r="S26" s="43"/>
      <c r="T26" s="43"/>
      <c r="U26" s="56"/>
      <c r="V26" s="50"/>
      <c r="W26" s="43"/>
      <c r="X26" s="79"/>
      <c r="Y26" s="43"/>
      <c r="Z26" s="95"/>
      <c r="AA26" s="43"/>
      <c r="AB26" s="43"/>
    </row>
    <row r="27" spans="1:28" s="35" customFormat="1" hidden="1">
      <c r="A27" s="44"/>
      <c r="B27" s="44"/>
      <c r="C27" s="44"/>
      <c r="D27" s="44"/>
      <c r="E27" s="42"/>
      <c r="F27" s="44"/>
      <c r="G27" s="44"/>
      <c r="H27" s="42"/>
      <c r="I27" s="44"/>
      <c r="J27" s="42"/>
      <c r="K27" s="42"/>
      <c r="L27" s="44"/>
      <c r="M27" s="51"/>
      <c r="N27" s="52"/>
      <c r="O27" s="52"/>
      <c r="P27" s="75"/>
      <c r="Q27" s="58"/>
      <c r="R27" s="75"/>
      <c r="S27" s="75"/>
      <c r="T27" s="58"/>
      <c r="U27" s="78"/>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c r="S28" s="75"/>
      <c r="T28" s="58"/>
      <c r="U28" s="78"/>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75"/>
      <c r="T29" s="58"/>
      <c r="U29" s="78"/>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75"/>
      <c r="T30" s="58"/>
      <c r="U30" s="78"/>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75"/>
      <c r="T31" s="58"/>
      <c r="U31" s="78"/>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75"/>
      <c r="T32" s="58"/>
      <c r="U32" s="7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0">B48</f>
        <v>0</v>
      </c>
      <c r="C70" s="43">
        <f t="shared" si="0"/>
        <v>0</v>
      </c>
      <c r="D70" s="43">
        <f t="shared" si="0"/>
        <v>0</v>
      </c>
      <c r="E70" s="71">
        <f t="shared" si="0"/>
        <v>0</v>
      </c>
      <c r="F70" s="43">
        <f t="shared" si="0"/>
        <v>0</v>
      </c>
      <c r="G70" s="43">
        <f t="shared" si="0"/>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1">B70</f>
        <v>0</v>
      </c>
      <c r="C92" s="43">
        <f t="shared" si="1"/>
        <v>0</v>
      </c>
      <c r="D92" s="43">
        <f t="shared" si="1"/>
        <v>0</v>
      </c>
      <c r="E92" s="71">
        <f t="shared" si="1"/>
        <v>0</v>
      </c>
      <c r="F92" s="43">
        <f t="shared" si="1"/>
        <v>0</v>
      </c>
      <c r="G92" s="43">
        <f t="shared" si="1"/>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1400</v>
      </c>
      <c r="L114" s="43"/>
      <c r="M114" s="49"/>
      <c r="N114" s="50"/>
      <c r="O114" s="50"/>
      <c r="P114" s="76"/>
      <c r="Q114" s="43"/>
      <c r="R114" s="43">
        <f>R92+R70+R48+R26++R4</f>
        <v>2.64</v>
      </c>
      <c r="S114" s="43"/>
      <c r="T114" s="43"/>
      <c r="U114" s="43"/>
      <c r="V114" s="43"/>
      <c r="W114" s="43"/>
      <c r="X114" s="71"/>
      <c r="Y114" s="43">
        <f>Y92+Y70+Y48+Y26++Y4</f>
        <v>2.6</v>
      </c>
      <c r="Z114" s="43"/>
      <c r="AA114" s="43"/>
      <c r="AB114" s="43"/>
    </row>
    <row r="115" spans="1:28">
      <c r="I115" s="36" t="s">
        <v>49</v>
      </c>
      <c r="K115" s="72">
        <f>IF(K114&gt;3000,K116,K114)</f>
        <v>1400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D116"/>
  <sheetViews>
    <sheetView zoomScale="80" zoomScaleNormal="80" workbookViewId="0">
      <pane ySplit="3" topLeftCell="A4" activePane="bottomLeft" state="frozen"/>
      <selection pane="bottomLeft" activeCell="H8" sqref="H8"/>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成都望锦汽车部件有限公司审计明细表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8" customHeight="1">
      <c r="A4" s="43">
        <v>1</v>
      </c>
      <c r="B4" s="43" t="s">
        <v>670</v>
      </c>
      <c r="C4" s="43" t="s">
        <v>879</v>
      </c>
      <c r="D4" s="43" t="s">
        <v>880</v>
      </c>
      <c r="E4" s="71" t="s">
        <v>146</v>
      </c>
      <c r="F4" s="43" t="s">
        <v>881</v>
      </c>
      <c r="G4" s="43" t="s">
        <v>882</v>
      </c>
      <c r="H4" s="101" t="s">
        <v>71</v>
      </c>
      <c r="I4" s="43" t="s">
        <v>883</v>
      </c>
      <c r="J4" s="71" t="s">
        <v>58</v>
      </c>
      <c r="K4" s="71">
        <v>1000</v>
      </c>
      <c r="L4" s="43" t="s">
        <v>884</v>
      </c>
      <c r="M4" s="49" t="s">
        <v>885</v>
      </c>
      <c r="N4" s="50">
        <v>45075</v>
      </c>
      <c r="O4" s="50">
        <v>45291</v>
      </c>
      <c r="P4" s="43">
        <f>P12-N4</f>
        <v>237</v>
      </c>
      <c r="Q4" s="55">
        <f>SUM(Q5:Q25)</f>
        <v>27.31</v>
      </c>
      <c r="R4" s="55">
        <v>11.25</v>
      </c>
      <c r="S4" s="43"/>
      <c r="T4" s="55">
        <f>SUM(T5:T25)</f>
        <v>27.31</v>
      </c>
      <c r="U4" s="56">
        <v>4.1500000000000002E-2</v>
      </c>
      <c r="V4" s="50"/>
      <c r="W4" s="43" t="s">
        <v>42</v>
      </c>
      <c r="X4" s="77">
        <v>1.4999999999999999E-2</v>
      </c>
      <c r="Y4" s="43">
        <f>ROUNDDOWN(IF((O4-N4+1)*K4*X4/365&gt;R4,R4,(O4-N4+1)*K4*X4/365),2)</f>
        <v>8.91</v>
      </c>
      <c r="Z4" s="55">
        <f>R4-Y4</f>
        <v>2.34</v>
      </c>
      <c r="AA4" s="55" t="s">
        <v>177</v>
      </c>
      <c r="AB4" s="43" t="s">
        <v>61</v>
      </c>
      <c r="AD4" s="61">
        <f>(O4-N4+1)*K4*X4/365</f>
        <v>8.9177999999999997</v>
      </c>
    </row>
    <row r="5" spans="1:30" s="35" customFormat="1">
      <c r="A5" s="44"/>
      <c r="B5" s="44"/>
      <c r="C5" s="44"/>
      <c r="D5" s="44"/>
      <c r="E5" s="42"/>
      <c r="F5" s="44"/>
      <c r="G5" s="44"/>
      <c r="H5" s="42"/>
      <c r="I5" s="44"/>
      <c r="J5" s="42"/>
      <c r="K5" s="42"/>
      <c r="L5" s="44"/>
      <c r="M5" s="51"/>
      <c r="N5" s="52"/>
      <c r="O5" s="50">
        <v>45440</v>
      </c>
      <c r="P5" s="75">
        <v>45098</v>
      </c>
      <c r="Q5" s="58">
        <v>2.65</v>
      </c>
      <c r="R5" s="44"/>
      <c r="S5" s="75">
        <v>45098</v>
      </c>
      <c r="T5" s="58">
        <f>(S5-N4)/360*$U$4*$K$4</f>
        <v>2.65</v>
      </c>
      <c r="U5" s="78">
        <f t="shared" ref="U5:U12" si="0">T5-Q5</f>
        <v>0</v>
      </c>
      <c r="V5" s="52"/>
      <c r="W5" s="58"/>
      <c r="X5" s="42"/>
      <c r="Y5" s="44">
        <f>ROUNDDOWN((V5-N4)*K4*X4/365,2)</f>
        <v>-1852.39</v>
      </c>
      <c r="Z5" s="44"/>
      <c r="AA5" s="44"/>
      <c r="AB5" s="44"/>
    </row>
    <row r="6" spans="1:30" s="35" customFormat="1">
      <c r="A6" s="44"/>
      <c r="B6" s="44"/>
      <c r="C6" s="44"/>
      <c r="D6" s="44"/>
      <c r="E6" s="42"/>
      <c r="F6" s="44"/>
      <c r="G6" s="44"/>
      <c r="H6" s="42"/>
      <c r="I6" s="44"/>
      <c r="J6" s="42"/>
      <c r="K6" s="42"/>
      <c r="L6" s="44"/>
      <c r="M6" s="51"/>
      <c r="N6" s="52"/>
      <c r="O6" s="52"/>
      <c r="P6" s="75">
        <v>45128</v>
      </c>
      <c r="Q6" s="58">
        <v>3.46</v>
      </c>
      <c r="R6" s="44"/>
      <c r="S6" s="75">
        <v>45128</v>
      </c>
      <c r="T6" s="58">
        <f t="shared" ref="T6:T12" si="1">(S6-S5)*$K$4*$U$4/360</f>
        <v>3.46</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45159</v>
      </c>
      <c r="Q7" s="58">
        <v>3.57</v>
      </c>
      <c r="R7" s="44"/>
      <c r="S7" s="75">
        <v>45159</v>
      </c>
      <c r="T7" s="58">
        <f t="shared" si="1"/>
        <v>3.57</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45190</v>
      </c>
      <c r="Q8" s="58">
        <v>3.57</v>
      </c>
      <c r="R8" s="44"/>
      <c r="S8" s="75">
        <v>45190</v>
      </c>
      <c r="T8" s="58">
        <f t="shared" si="1"/>
        <v>3.57</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45220</v>
      </c>
      <c r="Q9" s="58">
        <v>3.46</v>
      </c>
      <c r="R9" s="44"/>
      <c r="S9" s="75">
        <v>45220</v>
      </c>
      <c r="T9" s="58">
        <f t="shared" si="1"/>
        <v>3.46</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45251</v>
      </c>
      <c r="Q10" s="58">
        <v>3.57</v>
      </c>
      <c r="R10" s="44"/>
      <c r="S10" s="75">
        <v>45251</v>
      </c>
      <c r="T10" s="58">
        <f t="shared" si="1"/>
        <v>3.57</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45281</v>
      </c>
      <c r="Q11" s="58">
        <v>3.46</v>
      </c>
      <c r="R11" s="44"/>
      <c r="S11" s="75">
        <v>45281</v>
      </c>
      <c r="T11" s="58">
        <f t="shared" si="1"/>
        <v>3.46</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45312</v>
      </c>
      <c r="Q12" s="58">
        <v>3.57</v>
      </c>
      <c r="R12" s="44"/>
      <c r="S12" s="75">
        <v>45312</v>
      </c>
      <c r="T12" s="58">
        <f t="shared" si="1"/>
        <v>3.57</v>
      </c>
      <c r="U12" s="78">
        <f t="shared" si="0"/>
        <v>0</v>
      </c>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hidden="1" customHeight="1">
      <c r="A26" s="43"/>
      <c r="B26" s="43"/>
      <c r="C26" s="43"/>
      <c r="D26" s="43"/>
      <c r="E26" s="71"/>
      <c r="F26" s="43"/>
      <c r="G26" s="43"/>
      <c r="H26" s="71"/>
      <c r="I26" s="43"/>
      <c r="J26" s="71"/>
      <c r="K26" s="71"/>
      <c r="L26" s="43"/>
      <c r="M26" s="49"/>
      <c r="N26" s="50"/>
      <c r="O26" s="50"/>
      <c r="P26" s="43"/>
      <c r="Q26" s="55"/>
      <c r="R26" s="55"/>
      <c r="S26" s="43"/>
      <c r="T26" s="43"/>
      <c r="U26" s="56"/>
      <c r="V26" s="50"/>
      <c r="W26" s="43"/>
      <c r="X26" s="79"/>
      <c r="Y26" s="43"/>
      <c r="Z26" s="95"/>
      <c r="AA26" s="43"/>
      <c r="AB26" s="43"/>
    </row>
    <row r="27" spans="1:28" s="35" customFormat="1" hidden="1">
      <c r="A27" s="44"/>
      <c r="B27" s="44"/>
      <c r="C27" s="44"/>
      <c r="D27" s="44"/>
      <c r="E27" s="42"/>
      <c r="F27" s="44"/>
      <c r="G27" s="44"/>
      <c r="H27" s="42"/>
      <c r="I27" s="44"/>
      <c r="J27" s="42"/>
      <c r="K27" s="42"/>
      <c r="L27" s="44"/>
      <c r="M27" s="51"/>
      <c r="N27" s="52"/>
      <c r="O27" s="52"/>
      <c r="P27" s="75"/>
      <c r="Q27" s="58"/>
      <c r="R27" s="75"/>
      <c r="S27" s="75"/>
      <c r="T27" s="58"/>
      <c r="U27" s="78"/>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c r="S28" s="75"/>
      <c r="T28" s="58"/>
      <c r="U28" s="78"/>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75"/>
      <c r="T29" s="58"/>
      <c r="U29" s="78"/>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75"/>
      <c r="T30" s="58"/>
      <c r="U30" s="78"/>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75"/>
      <c r="T31" s="58"/>
      <c r="U31" s="78"/>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75"/>
      <c r="T32" s="58"/>
      <c r="U32" s="7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2">B48</f>
        <v>0</v>
      </c>
      <c r="C70" s="43">
        <f t="shared" si="2"/>
        <v>0</v>
      </c>
      <c r="D70" s="43">
        <f t="shared" si="2"/>
        <v>0</v>
      </c>
      <c r="E70" s="71">
        <f t="shared" si="2"/>
        <v>0</v>
      </c>
      <c r="F70" s="43">
        <f t="shared" si="2"/>
        <v>0</v>
      </c>
      <c r="G70" s="43">
        <f t="shared" si="2"/>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3">B70</f>
        <v>0</v>
      </c>
      <c r="C92" s="43">
        <f t="shared" si="3"/>
        <v>0</v>
      </c>
      <c r="D92" s="43">
        <f t="shared" si="3"/>
        <v>0</v>
      </c>
      <c r="E92" s="71">
        <f t="shared" si="3"/>
        <v>0</v>
      </c>
      <c r="F92" s="43">
        <f t="shared" si="3"/>
        <v>0</v>
      </c>
      <c r="G92" s="43">
        <f t="shared" si="3"/>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11.25</v>
      </c>
      <c r="S114" s="43"/>
      <c r="T114" s="43"/>
      <c r="U114" s="43"/>
      <c r="V114" s="43"/>
      <c r="W114" s="43"/>
      <c r="X114" s="71"/>
      <c r="Y114" s="43">
        <f>Y92+Y70+Y48+Y26++Y4</f>
        <v>8.91</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D116"/>
  <sheetViews>
    <sheetView topLeftCell="E1" workbookViewId="0">
      <pane ySplit="3" topLeftCell="A13" activePane="bottomLeft" state="frozen"/>
      <selection pane="bottomLeft" activeCell="T131" sqref="T131"/>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成都桐林铸造实业有限公司审计明细表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9" customHeight="1">
      <c r="A4" s="43">
        <v>1</v>
      </c>
      <c r="B4" s="43" t="s">
        <v>667</v>
      </c>
      <c r="C4" s="43" t="s">
        <v>879</v>
      </c>
      <c r="D4" s="43" t="s">
        <v>886</v>
      </c>
      <c r="E4" s="71" t="s">
        <v>146</v>
      </c>
      <c r="F4" s="43" t="s">
        <v>873</v>
      </c>
      <c r="G4" s="43" t="s">
        <v>887</v>
      </c>
      <c r="H4" s="71" t="s">
        <v>875</v>
      </c>
      <c r="I4" s="43" t="s">
        <v>888</v>
      </c>
      <c r="J4" s="71" t="s">
        <v>73</v>
      </c>
      <c r="K4" s="71">
        <v>1100</v>
      </c>
      <c r="L4" s="43" t="s">
        <v>889</v>
      </c>
      <c r="M4" s="49" t="s">
        <v>890</v>
      </c>
      <c r="N4" s="50">
        <v>45027</v>
      </c>
      <c r="O4" s="50">
        <v>45291</v>
      </c>
      <c r="P4" s="43">
        <f>P14-N4</f>
        <v>285</v>
      </c>
      <c r="Q4" s="55">
        <f>SUM(Q5:Q25)</f>
        <v>34.85</v>
      </c>
      <c r="R4" s="55">
        <v>15.91</v>
      </c>
      <c r="S4" s="43"/>
      <c r="T4" s="55">
        <f>SUM(T5:T25)</f>
        <v>34.85</v>
      </c>
      <c r="U4" s="56">
        <v>0.04</v>
      </c>
      <c r="V4" s="50"/>
      <c r="W4" s="43" t="s">
        <v>42</v>
      </c>
      <c r="X4" s="77">
        <v>0.02</v>
      </c>
      <c r="Y4" s="43">
        <f>ROUNDDOWN(IF((O4-N4+1)*K4*X4/365&gt;R4,R4,(O4-N4+1)*K4*X4/365),2)</f>
        <v>15.91</v>
      </c>
      <c r="Z4" s="55">
        <f>R4-Y4</f>
        <v>0</v>
      </c>
      <c r="AA4" s="55"/>
      <c r="AB4" s="43" t="s">
        <v>61</v>
      </c>
      <c r="AD4" s="61">
        <f>(O4-N4+1)*K4*X4/365</f>
        <v>15.9726</v>
      </c>
    </row>
    <row r="5" spans="1:30" s="35" customFormat="1">
      <c r="A5" s="44"/>
      <c r="B5" s="44"/>
      <c r="C5" s="44"/>
      <c r="D5" s="44"/>
      <c r="E5" s="42"/>
      <c r="F5" s="44"/>
      <c r="G5" s="44"/>
      <c r="H5" s="42"/>
      <c r="I5" s="44"/>
      <c r="J5" s="42"/>
      <c r="K5" s="42"/>
      <c r="L5" s="44"/>
      <c r="M5" s="51"/>
      <c r="N5" s="52"/>
      <c r="O5" s="68">
        <v>45387</v>
      </c>
      <c r="P5" s="75">
        <v>45037</v>
      </c>
      <c r="Q5" s="58">
        <v>1.22</v>
      </c>
      <c r="R5" s="44"/>
      <c r="S5" s="75">
        <v>45037</v>
      </c>
      <c r="T5" s="58">
        <f>(S5-N4)/360*$U$4*$K$4</f>
        <v>1.22</v>
      </c>
      <c r="U5" s="78">
        <f t="shared" ref="U5:U14" si="0">T5-Q5</f>
        <v>0</v>
      </c>
      <c r="V5" s="52"/>
      <c r="W5" s="58"/>
      <c r="X5" s="42"/>
      <c r="Y5" s="44">
        <f>ROUNDDOWN((V5-N4)*K4*X4/365,2)</f>
        <v>-2713.95</v>
      </c>
      <c r="Z5" s="44"/>
      <c r="AA5" s="44"/>
      <c r="AB5" s="44"/>
    </row>
    <row r="6" spans="1:30" s="35" customFormat="1">
      <c r="A6" s="44"/>
      <c r="B6" s="44"/>
      <c r="C6" s="44"/>
      <c r="D6" s="44"/>
      <c r="E6" s="42"/>
      <c r="F6" s="44"/>
      <c r="G6" s="44"/>
      <c r="H6" s="42"/>
      <c r="I6" s="44"/>
      <c r="J6" s="42"/>
      <c r="K6" s="42"/>
      <c r="L6" s="44"/>
      <c r="M6" s="51"/>
      <c r="N6" s="52"/>
      <c r="O6" s="52"/>
      <c r="P6" s="75">
        <v>45067</v>
      </c>
      <c r="Q6" s="58">
        <v>3.67</v>
      </c>
      <c r="R6" s="44"/>
      <c r="S6" s="75">
        <v>45067</v>
      </c>
      <c r="T6" s="58">
        <f t="shared" ref="T6:T14" si="1">(S6-S5)*$K$4*$U$4/360</f>
        <v>3.67</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45098</v>
      </c>
      <c r="Q7" s="58">
        <v>3.79</v>
      </c>
      <c r="R7" s="44"/>
      <c r="S7" s="75">
        <v>45098</v>
      </c>
      <c r="T7" s="58">
        <f t="shared" si="1"/>
        <v>3.79</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45128</v>
      </c>
      <c r="Q8" s="58">
        <v>3.67</v>
      </c>
      <c r="R8" s="44"/>
      <c r="S8" s="75">
        <v>45128</v>
      </c>
      <c r="T8" s="58">
        <f t="shared" si="1"/>
        <v>3.67</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45159</v>
      </c>
      <c r="Q9" s="58">
        <v>3.79</v>
      </c>
      <c r="R9" s="44"/>
      <c r="S9" s="75">
        <v>45159</v>
      </c>
      <c r="T9" s="58">
        <f t="shared" si="1"/>
        <v>3.79</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45190</v>
      </c>
      <c r="Q10" s="58">
        <v>3.79</v>
      </c>
      <c r="R10" s="44"/>
      <c r="S10" s="75">
        <v>45190</v>
      </c>
      <c r="T10" s="58">
        <f t="shared" si="1"/>
        <v>3.79</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45220</v>
      </c>
      <c r="Q11" s="58">
        <v>3.67</v>
      </c>
      <c r="R11" s="44"/>
      <c r="S11" s="75">
        <v>45220</v>
      </c>
      <c r="T11" s="58">
        <f t="shared" si="1"/>
        <v>3.67</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45251</v>
      </c>
      <c r="Q12" s="58">
        <v>3.79</v>
      </c>
      <c r="R12" s="44"/>
      <c r="S12" s="75">
        <v>45251</v>
      </c>
      <c r="T12" s="58">
        <f t="shared" si="1"/>
        <v>3.79</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45281</v>
      </c>
      <c r="Q13" s="58">
        <v>3.67</v>
      </c>
      <c r="R13" s="44"/>
      <c r="S13" s="75">
        <v>45281</v>
      </c>
      <c r="T13" s="58">
        <f t="shared" si="1"/>
        <v>3.67</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45312</v>
      </c>
      <c r="Q14" s="58">
        <v>3.79</v>
      </c>
      <c r="R14" s="44"/>
      <c r="S14" s="75">
        <v>45312</v>
      </c>
      <c r="T14" s="58">
        <f t="shared" si="1"/>
        <v>3.79</v>
      </c>
      <c r="U14" s="78">
        <f t="shared" si="0"/>
        <v>0</v>
      </c>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hidden="1" customHeight="1">
      <c r="A26" s="43"/>
      <c r="B26" s="43"/>
      <c r="C26" s="43"/>
      <c r="D26" s="43"/>
      <c r="E26" s="71"/>
      <c r="F26" s="43"/>
      <c r="G26" s="43"/>
      <c r="H26" s="71"/>
      <c r="I26" s="43"/>
      <c r="J26" s="71"/>
      <c r="K26" s="71"/>
      <c r="L26" s="43"/>
      <c r="M26" s="49"/>
      <c r="N26" s="50"/>
      <c r="O26" s="50"/>
      <c r="P26" s="43"/>
      <c r="Q26" s="55"/>
      <c r="R26" s="55"/>
      <c r="S26" s="43"/>
      <c r="T26" s="43"/>
      <c r="U26" s="56"/>
      <c r="V26" s="50"/>
      <c r="W26" s="43"/>
      <c r="X26" s="79"/>
      <c r="Y26" s="43"/>
      <c r="Z26" s="95"/>
      <c r="AA26" s="43"/>
      <c r="AB26" s="43"/>
    </row>
    <row r="27" spans="1:28" s="35" customFormat="1" hidden="1">
      <c r="A27" s="44"/>
      <c r="B27" s="44"/>
      <c r="C27" s="44"/>
      <c r="D27" s="44"/>
      <c r="E27" s="42"/>
      <c r="F27" s="44"/>
      <c r="G27" s="44"/>
      <c r="H27" s="42"/>
      <c r="I27" s="44"/>
      <c r="J27" s="42"/>
      <c r="K27" s="42"/>
      <c r="L27" s="44"/>
      <c r="M27" s="51"/>
      <c r="N27" s="52"/>
      <c r="O27" s="52"/>
      <c r="P27" s="75"/>
      <c r="Q27" s="58"/>
      <c r="R27" s="75"/>
      <c r="S27" s="75"/>
      <c r="T27" s="58"/>
      <c r="U27" s="78"/>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c r="S28" s="75"/>
      <c r="T28" s="58"/>
      <c r="U28" s="78"/>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75"/>
      <c r="T29" s="58"/>
      <c r="U29" s="78"/>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75"/>
      <c r="T30" s="58"/>
      <c r="U30" s="78"/>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75"/>
      <c r="T31" s="58"/>
      <c r="U31" s="78"/>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75"/>
      <c r="T32" s="58"/>
      <c r="U32" s="7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2">B48</f>
        <v>0</v>
      </c>
      <c r="C70" s="43">
        <f t="shared" si="2"/>
        <v>0</v>
      </c>
      <c r="D70" s="43">
        <f t="shared" si="2"/>
        <v>0</v>
      </c>
      <c r="E70" s="71">
        <f t="shared" si="2"/>
        <v>0</v>
      </c>
      <c r="F70" s="43">
        <f t="shared" si="2"/>
        <v>0</v>
      </c>
      <c r="G70" s="43">
        <f t="shared" si="2"/>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3">B70</f>
        <v>0</v>
      </c>
      <c r="C92" s="43">
        <f t="shared" si="3"/>
        <v>0</v>
      </c>
      <c r="D92" s="43">
        <f t="shared" si="3"/>
        <v>0</v>
      </c>
      <c r="E92" s="71">
        <f t="shared" si="3"/>
        <v>0</v>
      </c>
      <c r="F92" s="43">
        <f t="shared" si="3"/>
        <v>0</v>
      </c>
      <c r="G92" s="43">
        <f t="shared" si="3"/>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1100</v>
      </c>
      <c r="L114" s="43"/>
      <c r="M114" s="49"/>
      <c r="N114" s="50"/>
      <c r="O114" s="50"/>
      <c r="P114" s="76"/>
      <c r="Q114" s="43"/>
      <c r="R114" s="43">
        <f>R92+R70+R48+R26++R4</f>
        <v>15.91</v>
      </c>
      <c r="S114" s="43"/>
      <c r="T114" s="43"/>
      <c r="U114" s="43"/>
      <c r="V114" s="43"/>
      <c r="W114" s="43"/>
      <c r="X114" s="71"/>
      <c r="Y114" s="43">
        <f>Y92+Y70+Y48+Y26++Y4</f>
        <v>15.91</v>
      </c>
      <c r="Z114" s="43"/>
      <c r="AA114" s="43"/>
      <c r="AB114" s="43"/>
    </row>
    <row r="115" spans="1:28">
      <c r="I115" s="36" t="s">
        <v>49</v>
      </c>
      <c r="K115" s="72">
        <f>IF(K114&gt;3000,K116,K114)</f>
        <v>1100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D116"/>
  <sheetViews>
    <sheetView workbookViewId="0">
      <pane ySplit="3" topLeftCell="A4" activePane="bottomLeft" state="frozen"/>
      <selection pane="bottomLeft" activeCell="F5" sqref="F5"/>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四川成都同道堂制药有限责任公司审计明细表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12" customHeight="1">
      <c r="A4" s="43">
        <v>1</v>
      </c>
      <c r="B4" s="43" t="s">
        <v>694</v>
      </c>
      <c r="C4" s="43" t="s">
        <v>879</v>
      </c>
      <c r="D4" s="152" t="s">
        <v>891</v>
      </c>
      <c r="E4" s="71" t="s">
        <v>892</v>
      </c>
      <c r="F4" s="43" t="s">
        <v>881</v>
      </c>
      <c r="G4" s="43" t="s">
        <v>893</v>
      </c>
      <c r="H4" s="71" t="s">
        <v>71</v>
      </c>
      <c r="I4" s="43" t="s">
        <v>894</v>
      </c>
      <c r="J4" s="71" t="s">
        <v>58</v>
      </c>
      <c r="K4" s="71">
        <v>1000</v>
      </c>
      <c r="L4" s="96" t="s">
        <v>895</v>
      </c>
      <c r="M4" s="49" t="s">
        <v>896</v>
      </c>
      <c r="N4" s="68">
        <v>44860</v>
      </c>
      <c r="O4" s="50">
        <v>45224</v>
      </c>
      <c r="P4" s="43">
        <f>P19-N4</f>
        <v>364</v>
      </c>
      <c r="Q4" s="55">
        <f>SUM(Q5:Q25)</f>
        <v>40.08</v>
      </c>
      <c r="R4" s="55">
        <v>15</v>
      </c>
      <c r="S4" s="43"/>
      <c r="T4" s="55">
        <f>SUM(T5:T25)</f>
        <v>41.95</v>
      </c>
      <c r="U4" s="56">
        <v>4.1500000000000002E-2</v>
      </c>
      <c r="V4" s="50"/>
      <c r="W4" s="43" t="s">
        <v>42</v>
      </c>
      <c r="X4" s="77">
        <v>1.4999999999999999E-2</v>
      </c>
      <c r="Y4" s="43">
        <f>ROUNDDOWN(IF((O4-N4+1)*K4*X4/365&gt;R4,R4,(O4-N4+1)*K4*X4/365),2)</f>
        <v>15</v>
      </c>
      <c r="Z4" s="55">
        <f>R4-Y4</f>
        <v>0</v>
      </c>
      <c r="AA4" s="55"/>
      <c r="AB4" s="43" t="s">
        <v>61</v>
      </c>
      <c r="AD4" s="61">
        <f>(O4-N4+1)*K4*X4/365</f>
        <v>15</v>
      </c>
    </row>
    <row r="5" spans="1:30" s="35" customFormat="1" ht="56">
      <c r="A5" s="44"/>
      <c r="B5" s="44"/>
      <c r="C5" s="44"/>
      <c r="D5" s="44"/>
      <c r="E5" s="42"/>
      <c r="F5" s="44"/>
      <c r="G5" s="44"/>
      <c r="H5" s="42"/>
      <c r="I5" s="44"/>
      <c r="J5" s="42"/>
      <c r="K5" s="42"/>
      <c r="L5" s="44"/>
      <c r="M5" s="51" t="s">
        <v>897</v>
      </c>
      <c r="N5" s="52"/>
      <c r="O5" s="52"/>
      <c r="P5" s="75">
        <v>44885</v>
      </c>
      <c r="Q5" s="58">
        <v>2.88</v>
      </c>
      <c r="R5" s="44"/>
      <c r="S5" s="75">
        <v>44885</v>
      </c>
      <c r="T5" s="58">
        <f>(S5-N4)/360*$U$4*$K$4</f>
        <v>2.88</v>
      </c>
      <c r="U5" s="78">
        <f t="shared" ref="U5:U19" si="0">T5-Q5</f>
        <v>0</v>
      </c>
      <c r="V5" s="52"/>
      <c r="W5" s="58"/>
      <c r="X5" s="42"/>
      <c r="Y5" s="44">
        <f>ROUNDDOWN((V5-N4)*K4*X4/365,2)</f>
        <v>-1843.56</v>
      </c>
      <c r="Z5" s="44"/>
      <c r="AA5" s="44"/>
      <c r="AB5" s="44"/>
    </row>
    <row r="6" spans="1:30" s="35" customFormat="1">
      <c r="A6" s="44"/>
      <c r="B6" s="44"/>
      <c r="C6" s="44"/>
      <c r="D6" s="44"/>
      <c r="E6" s="42"/>
      <c r="F6" s="44"/>
      <c r="G6" s="44"/>
      <c r="H6" s="42"/>
      <c r="I6" s="44"/>
      <c r="J6" s="42"/>
      <c r="K6" s="42"/>
      <c r="L6" s="44"/>
      <c r="M6" s="51"/>
      <c r="N6" s="52"/>
      <c r="O6" s="52"/>
      <c r="P6" s="75">
        <v>44915</v>
      </c>
      <c r="Q6" s="58">
        <v>3.46</v>
      </c>
      <c r="R6" s="44"/>
      <c r="S6" s="75">
        <v>44915</v>
      </c>
      <c r="T6" s="58">
        <f t="shared" ref="T6:T19" si="1">(S6-S5)*$K$4*$U$4/360</f>
        <v>3.46</v>
      </c>
      <c r="U6" s="78">
        <f t="shared" si="0"/>
        <v>0</v>
      </c>
      <c r="V6" s="75"/>
      <c r="W6" s="58"/>
      <c r="X6" s="42"/>
      <c r="Y6" s="44"/>
      <c r="Z6" s="44"/>
      <c r="AA6" s="44"/>
      <c r="AB6" s="44"/>
    </row>
    <row r="7" spans="1:30" s="35" customFormat="1">
      <c r="A7" s="44"/>
      <c r="B7" s="44"/>
      <c r="C7" s="44"/>
      <c r="D7" s="44"/>
      <c r="E7" s="42"/>
      <c r="F7" s="44"/>
      <c r="G7" s="44"/>
      <c r="H7" s="42"/>
      <c r="I7" s="44"/>
      <c r="J7" s="42"/>
      <c r="K7" s="42"/>
      <c r="L7" s="75"/>
      <c r="M7" s="51"/>
      <c r="N7" s="52"/>
      <c r="O7" s="52"/>
      <c r="P7" s="75">
        <v>44923</v>
      </c>
      <c r="Q7" s="58">
        <v>-1.56</v>
      </c>
      <c r="R7" s="44" t="s">
        <v>898</v>
      </c>
      <c r="S7" s="75">
        <v>44923</v>
      </c>
      <c r="T7" s="58">
        <f t="shared" si="1"/>
        <v>0.92</v>
      </c>
      <c r="U7" s="78">
        <f t="shared" si="0"/>
        <v>2.48</v>
      </c>
      <c r="V7" s="75"/>
      <c r="W7" s="58"/>
      <c r="X7" s="42"/>
      <c r="Y7" s="44"/>
      <c r="Z7" s="44"/>
      <c r="AA7" s="44"/>
      <c r="AB7" s="44"/>
    </row>
    <row r="8" spans="1:30" s="35" customFormat="1">
      <c r="A8" s="44"/>
      <c r="B8" s="44"/>
      <c r="C8" s="44"/>
      <c r="D8" s="44"/>
      <c r="E8" s="42"/>
      <c r="F8" s="44"/>
      <c r="G8" s="44"/>
      <c r="H8" s="42"/>
      <c r="I8" s="44"/>
      <c r="J8" s="42"/>
      <c r="K8" s="42"/>
      <c r="L8" s="75"/>
      <c r="M8" s="51"/>
      <c r="N8" s="52"/>
      <c r="O8" s="52"/>
      <c r="P8" s="75">
        <v>44935</v>
      </c>
      <c r="Q8" s="58">
        <v>-0.31</v>
      </c>
      <c r="R8" s="44" t="s">
        <v>898</v>
      </c>
      <c r="S8" s="75">
        <v>44935</v>
      </c>
      <c r="T8" s="58">
        <f t="shared" si="1"/>
        <v>1.38</v>
      </c>
      <c r="U8" s="78">
        <f t="shared" si="0"/>
        <v>1.69</v>
      </c>
      <c r="V8" s="75"/>
      <c r="W8" s="58"/>
      <c r="X8" s="42"/>
      <c r="Y8" s="44"/>
      <c r="Z8" s="44"/>
      <c r="AA8" s="44"/>
      <c r="AB8" s="44"/>
    </row>
    <row r="9" spans="1:30" s="35" customFormat="1">
      <c r="A9" s="44"/>
      <c r="B9" s="44"/>
      <c r="C9" s="44"/>
      <c r="D9" s="44"/>
      <c r="E9" s="42"/>
      <c r="F9" s="44"/>
      <c r="G9" s="44"/>
      <c r="H9" s="42"/>
      <c r="I9" s="44"/>
      <c r="J9" s="42"/>
      <c r="K9" s="42"/>
      <c r="L9" s="75"/>
      <c r="M9" s="51"/>
      <c r="N9" s="52"/>
      <c r="O9" s="52"/>
      <c r="P9" s="75">
        <v>44946</v>
      </c>
      <c r="Q9" s="58">
        <v>3.57</v>
      </c>
      <c r="R9" s="44"/>
      <c r="S9" s="75">
        <v>44946</v>
      </c>
      <c r="T9" s="58">
        <f t="shared" si="1"/>
        <v>1.27</v>
      </c>
      <c r="U9" s="94">
        <f t="shared" si="0"/>
        <v>-2.2999999999999998</v>
      </c>
      <c r="V9" s="75"/>
      <c r="W9" s="58"/>
      <c r="X9" s="42"/>
      <c r="Y9" s="44"/>
      <c r="Z9" s="44"/>
      <c r="AA9" s="44"/>
      <c r="AB9" s="44"/>
    </row>
    <row r="10" spans="1:30" s="35" customFormat="1">
      <c r="A10" s="44"/>
      <c r="B10" s="44"/>
      <c r="C10" s="44"/>
      <c r="D10" s="44"/>
      <c r="E10" s="42"/>
      <c r="F10" s="44"/>
      <c r="G10" s="44"/>
      <c r="H10" s="42"/>
      <c r="I10" s="44"/>
      <c r="J10" s="42"/>
      <c r="K10" s="42"/>
      <c r="L10" s="75"/>
      <c r="M10" s="51"/>
      <c r="N10" s="52"/>
      <c r="O10" s="52"/>
      <c r="P10" s="75">
        <v>44977</v>
      </c>
      <c r="Q10" s="58">
        <v>3.57</v>
      </c>
      <c r="R10" s="44"/>
      <c r="S10" s="75">
        <v>44977</v>
      </c>
      <c r="T10" s="58">
        <f t="shared" si="1"/>
        <v>3.57</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75"/>
      <c r="M11" s="51"/>
      <c r="N11" s="52"/>
      <c r="O11" s="52"/>
      <c r="P11" s="75">
        <v>45005</v>
      </c>
      <c r="Q11" s="58">
        <v>3.23</v>
      </c>
      <c r="R11" s="44"/>
      <c r="S11" s="75">
        <v>45005</v>
      </c>
      <c r="T11" s="58">
        <f t="shared" si="1"/>
        <v>3.23</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75"/>
      <c r="M12" s="51"/>
      <c r="N12" s="52"/>
      <c r="O12" s="52"/>
      <c r="P12" s="75">
        <v>45036</v>
      </c>
      <c r="Q12" s="58">
        <v>3.57</v>
      </c>
      <c r="R12" s="44"/>
      <c r="S12" s="75">
        <v>45036</v>
      </c>
      <c r="T12" s="58">
        <f t="shared" si="1"/>
        <v>3.57</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75"/>
      <c r="M13" s="51"/>
      <c r="N13" s="52"/>
      <c r="O13" s="52"/>
      <c r="P13" s="75">
        <v>45066</v>
      </c>
      <c r="Q13" s="58">
        <v>3.46</v>
      </c>
      <c r="R13" s="44"/>
      <c r="S13" s="75">
        <v>45066</v>
      </c>
      <c r="T13" s="58">
        <f t="shared" si="1"/>
        <v>3.46</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75"/>
      <c r="M14" s="51"/>
      <c r="N14" s="52"/>
      <c r="O14" s="52"/>
      <c r="P14" s="75">
        <v>45097</v>
      </c>
      <c r="Q14" s="58">
        <v>3.57</v>
      </c>
      <c r="R14" s="44"/>
      <c r="S14" s="75">
        <v>45097</v>
      </c>
      <c r="T14" s="58">
        <f t="shared" si="1"/>
        <v>3.57</v>
      </c>
      <c r="U14" s="78">
        <f t="shared" si="0"/>
        <v>0</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45127</v>
      </c>
      <c r="Q15" s="58">
        <v>3.46</v>
      </c>
      <c r="R15" s="44"/>
      <c r="S15" s="75">
        <v>45127</v>
      </c>
      <c r="T15" s="58">
        <f t="shared" si="1"/>
        <v>3.46</v>
      </c>
      <c r="U15" s="78">
        <f t="shared" si="0"/>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45158</v>
      </c>
      <c r="Q16" s="58">
        <v>3.57</v>
      </c>
      <c r="R16" s="44"/>
      <c r="S16" s="75">
        <v>45158</v>
      </c>
      <c r="T16" s="58">
        <f t="shared" si="1"/>
        <v>3.57</v>
      </c>
      <c r="U16" s="78">
        <f t="shared" si="0"/>
        <v>0</v>
      </c>
      <c r="V16" s="44"/>
      <c r="W16" s="44"/>
      <c r="X16" s="42"/>
      <c r="Y16" s="44"/>
      <c r="Z16" s="44"/>
      <c r="AA16" s="44"/>
      <c r="AB16" s="44"/>
    </row>
    <row r="17" spans="1:28" s="35" customFormat="1">
      <c r="A17" s="44"/>
      <c r="B17" s="44"/>
      <c r="C17" s="44"/>
      <c r="D17" s="44"/>
      <c r="E17" s="42"/>
      <c r="F17" s="44"/>
      <c r="G17" s="44"/>
      <c r="H17" s="42"/>
      <c r="I17" s="44"/>
      <c r="J17" s="42"/>
      <c r="K17" s="42"/>
      <c r="L17" s="44"/>
      <c r="M17" s="51"/>
      <c r="N17" s="52"/>
      <c r="O17" s="52"/>
      <c r="P17" s="75">
        <v>45189</v>
      </c>
      <c r="Q17" s="58">
        <v>3.57</v>
      </c>
      <c r="R17" s="75"/>
      <c r="S17" s="75">
        <v>45189</v>
      </c>
      <c r="T17" s="58">
        <f t="shared" si="1"/>
        <v>3.57</v>
      </c>
      <c r="U17" s="78">
        <f t="shared" si="0"/>
        <v>0</v>
      </c>
      <c r="V17" s="44"/>
      <c r="W17" s="44"/>
      <c r="X17" s="42"/>
      <c r="Y17" s="44"/>
      <c r="Z17" s="44"/>
      <c r="AA17" s="44"/>
      <c r="AB17" s="44"/>
    </row>
    <row r="18" spans="1:28" s="35" customFormat="1">
      <c r="A18" s="44"/>
      <c r="B18" s="44"/>
      <c r="C18" s="44"/>
      <c r="D18" s="44"/>
      <c r="E18" s="42"/>
      <c r="F18" s="44"/>
      <c r="G18" s="44"/>
      <c r="H18" s="42"/>
      <c r="I18" s="44"/>
      <c r="J18" s="42"/>
      <c r="K18" s="42"/>
      <c r="L18" s="44"/>
      <c r="M18" s="51"/>
      <c r="N18" s="52"/>
      <c r="O18" s="52"/>
      <c r="P18" s="75">
        <v>45219</v>
      </c>
      <c r="Q18" s="58">
        <v>3.46</v>
      </c>
      <c r="R18" s="75"/>
      <c r="S18" s="75">
        <v>45219</v>
      </c>
      <c r="T18" s="58">
        <f t="shared" si="1"/>
        <v>3.46</v>
      </c>
      <c r="U18" s="78">
        <f t="shared" si="0"/>
        <v>0</v>
      </c>
      <c r="V18" s="44"/>
      <c r="W18" s="44"/>
      <c r="X18" s="42"/>
      <c r="Y18" s="44"/>
      <c r="Z18" s="44"/>
      <c r="AA18" s="44"/>
      <c r="AB18" s="44"/>
    </row>
    <row r="19" spans="1:28" s="35" customFormat="1">
      <c r="A19" s="44"/>
      <c r="B19" s="44"/>
      <c r="C19" s="44"/>
      <c r="D19" s="44"/>
      <c r="E19" s="42"/>
      <c r="F19" s="44"/>
      <c r="G19" s="44"/>
      <c r="H19" s="42"/>
      <c r="I19" s="44"/>
      <c r="J19" s="42"/>
      <c r="K19" s="42"/>
      <c r="L19" s="44"/>
      <c r="M19" s="51"/>
      <c r="N19" s="52"/>
      <c r="O19" s="52"/>
      <c r="P19" s="75">
        <v>45224</v>
      </c>
      <c r="Q19" s="58">
        <v>0.57999999999999996</v>
      </c>
      <c r="R19" s="75"/>
      <c r="S19" s="75">
        <v>45224</v>
      </c>
      <c r="T19" s="58">
        <f t="shared" si="1"/>
        <v>0.57999999999999996</v>
      </c>
      <c r="U19" s="78">
        <f t="shared" si="0"/>
        <v>0</v>
      </c>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hidden="1" customHeight="1">
      <c r="A26" s="43"/>
      <c r="B26" s="43"/>
      <c r="C26" s="43"/>
      <c r="D26" s="43"/>
      <c r="E26" s="71"/>
      <c r="F26" s="43"/>
      <c r="G26" s="43"/>
      <c r="H26" s="71"/>
      <c r="I26" s="43"/>
      <c r="J26" s="71"/>
      <c r="K26" s="71"/>
      <c r="L26" s="43"/>
      <c r="M26" s="49"/>
      <c r="N26" s="50"/>
      <c r="O26" s="50"/>
      <c r="P26" s="43"/>
      <c r="Q26" s="55"/>
      <c r="R26" s="55"/>
      <c r="S26" s="43"/>
      <c r="T26" s="43"/>
      <c r="U26" s="56"/>
      <c r="V26" s="50"/>
      <c r="W26" s="43"/>
      <c r="X26" s="79"/>
      <c r="Y26" s="43"/>
      <c r="Z26" s="95"/>
      <c r="AA26" s="43"/>
      <c r="AB26" s="43"/>
    </row>
    <row r="27" spans="1:28" s="35" customFormat="1" hidden="1">
      <c r="A27" s="44"/>
      <c r="B27" s="44"/>
      <c r="C27" s="44"/>
      <c r="D27" s="44"/>
      <c r="E27" s="42"/>
      <c r="F27" s="44"/>
      <c r="G27" s="44"/>
      <c r="H27" s="42"/>
      <c r="I27" s="44"/>
      <c r="J27" s="42"/>
      <c r="K27" s="42"/>
      <c r="L27" s="44"/>
      <c r="M27" s="51"/>
      <c r="N27" s="52"/>
      <c r="O27" s="52"/>
      <c r="P27" s="75"/>
      <c r="Q27" s="58"/>
      <c r="R27" s="75"/>
      <c r="S27" s="75"/>
      <c r="T27" s="58"/>
      <c r="U27" s="78"/>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75"/>
      <c r="S28" s="75"/>
      <c r="T28" s="58"/>
      <c r="U28" s="78"/>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75"/>
      <c r="T29" s="58"/>
      <c r="U29" s="78"/>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75"/>
      <c r="T30" s="58"/>
      <c r="U30" s="78"/>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75"/>
      <c r="T31" s="58"/>
      <c r="U31" s="78"/>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75"/>
      <c r="T32" s="58"/>
      <c r="U32" s="7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2">B48</f>
        <v>0</v>
      </c>
      <c r="C70" s="43">
        <f t="shared" si="2"/>
        <v>0</v>
      </c>
      <c r="D70" s="43">
        <f t="shared" si="2"/>
        <v>0</v>
      </c>
      <c r="E70" s="71">
        <f t="shared" si="2"/>
        <v>0</v>
      </c>
      <c r="F70" s="43">
        <f t="shared" si="2"/>
        <v>0</v>
      </c>
      <c r="G70" s="43">
        <f t="shared" si="2"/>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3">B70</f>
        <v>0</v>
      </c>
      <c r="C92" s="43">
        <f t="shared" si="3"/>
        <v>0</v>
      </c>
      <c r="D92" s="43">
        <f t="shared" si="3"/>
        <v>0</v>
      </c>
      <c r="E92" s="71">
        <f t="shared" si="3"/>
        <v>0</v>
      </c>
      <c r="F92" s="43">
        <f t="shared" si="3"/>
        <v>0</v>
      </c>
      <c r="G92" s="43">
        <f t="shared" si="3"/>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15</v>
      </c>
      <c r="S114" s="43"/>
      <c r="T114" s="43"/>
      <c r="U114" s="43"/>
      <c r="V114" s="43"/>
      <c r="W114" s="43"/>
      <c r="X114" s="71"/>
      <c r="Y114" s="43">
        <f>Y92+Y70+Y48+Y26++Y4</f>
        <v>15</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D116"/>
  <sheetViews>
    <sheetView zoomScale="110" zoomScaleNormal="11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四川宏康源药业有限公司审计明细表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50.15"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705</v>
      </c>
      <c r="C4" s="43" t="s">
        <v>899</v>
      </c>
      <c r="D4" s="43" t="s">
        <v>900</v>
      </c>
      <c r="E4" s="43" t="s">
        <v>246</v>
      </c>
      <c r="F4" s="43" t="s">
        <v>901</v>
      </c>
      <c r="G4" s="43" t="s">
        <v>902</v>
      </c>
      <c r="H4" s="43" t="s">
        <v>37</v>
      </c>
      <c r="I4" s="43" t="s">
        <v>903</v>
      </c>
      <c r="J4" s="43" t="s">
        <v>904</v>
      </c>
      <c r="K4" s="43">
        <v>300</v>
      </c>
      <c r="L4" s="43" t="s">
        <v>905</v>
      </c>
      <c r="M4" s="49" t="s">
        <v>906</v>
      </c>
      <c r="N4" s="50">
        <v>44917</v>
      </c>
      <c r="O4" s="50">
        <v>45097</v>
      </c>
      <c r="P4" s="43">
        <f>P10-N4</f>
        <v>180</v>
      </c>
      <c r="Q4" s="55">
        <f>SUM(Q5:Q25)</f>
        <v>5.58</v>
      </c>
      <c r="R4" s="55">
        <v>1.5</v>
      </c>
      <c r="S4" s="43"/>
      <c r="T4" s="55">
        <f>SUM(T5:T25)</f>
        <v>5.58</v>
      </c>
      <c r="U4" s="56">
        <v>3.7199999999999997E-2</v>
      </c>
      <c r="V4" s="50"/>
      <c r="W4" s="43" t="s">
        <v>42</v>
      </c>
      <c r="X4" s="57">
        <v>0.01</v>
      </c>
      <c r="Y4" s="43">
        <f>ROUNDDOWN(IF((O4-N4+1)*K4*X4/365&gt;R4,R4,(O4-N4+1)*K4*X4/365),2)</f>
        <v>1.48</v>
      </c>
      <c r="Z4" s="55">
        <f>R4-Y4</f>
        <v>0.02</v>
      </c>
      <c r="AA4" s="55" t="s">
        <v>43</v>
      </c>
      <c r="AB4" s="43" t="s">
        <v>61</v>
      </c>
      <c r="AD4" s="61">
        <f>(O4-N4+1)*K4*X4/365</f>
        <v>1.4877</v>
      </c>
    </row>
    <row r="5" spans="1:30" s="35" customFormat="1">
      <c r="A5" s="44"/>
      <c r="B5" s="44"/>
      <c r="C5" s="44"/>
      <c r="D5" s="44"/>
      <c r="E5" s="44"/>
      <c r="F5" s="44"/>
      <c r="G5" s="44"/>
      <c r="H5" s="44"/>
      <c r="I5" s="44"/>
      <c r="J5" s="44"/>
      <c r="K5" s="44"/>
      <c r="L5" s="44"/>
      <c r="M5" s="51"/>
      <c r="N5" s="52"/>
      <c r="O5" s="52"/>
      <c r="P5" s="75">
        <v>44947</v>
      </c>
      <c r="Q5" s="58">
        <v>0.93</v>
      </c>
      <c r="R5" s="75"/>
      <c r="S5" s="75">
        <v>44947</v>
      </c>
      <c r="T5" s="58">
        <f>(S5-N4)/360*$U$4*$K$4</f>
        <v>0.93</v>
      </c>
      <c r="U5" s="78">
        <f t="shared" ref="U5:U10" si="0">T5-Q5</f>
        <v>0</v>
      </c>
      <c r="V5" s="52"/>
      <c r="W5" s="44"/>
      <c r="X5" s="44"/>
      <c r="Y5" s="44">
        <f>ROUNDDOWN((V5-N4)*K4*X4/365,2)</f>
        <v>-369.18</v>
      </c>
      <c r="Z5" s="44"/>
      <c r="AA5" s="44"/>
      <c r="AB5" s="44"/>
    </row>
    <row r="6" spans="1:30" s="35" customFormat="1">
      <c r="A6" s="44"/>
      <c r="B6" s="44"/>
      <c r="C6" s="44"/>
      <c r="D6" s="44"/>
      <c r="E6" s="44"/>
      <c r="F6" s="44"/>
      <c r="G6" s="44"/>
      <c r="H6" s="44"/>
      <c r="I6" s="44"/>
      <c r="J6" s="44"/>
      <c r="K6" s="44"/>
      <c r="L6" s="44"/>
      <c r="M6" s="51"/>
      <c r="N6" s="52"/>
      <c r="O6" s="52"/>
      <c r="P6" s="75">
        <v>44978</v>
      </c>
      <c r="Q6" s="58">
        <v>0.96</v>
      </c>
      <c r="R6" s="75"/>
      <c r="S6" s="75">
        <v>44978</v>
      </c>
      <c r="T6" s="58">
        <f>(S6-S5)*$K$4*$U$4/360</f>
        <v>0.96</v>
      </c>
      <c r="U6" s="78">
        <f t="shared" si="0"/>
        <v>0</v>
      </c>
      <c r="V6" s="44"/>
      <c r="W6" s="44"/>
      <c r="X6" s="44"/>
      <c r="Y6" s="44"/>
      <c r="Z6" s="44"/>
      <c r="AA6" s="44"/>
      <c r="AB6" s="44"/>
    </row>
    <row r="7" spans="1:30" s="35" customFormat="1">
      <c r="A7" s="44"/>
      <c r="B7" s="44"/>
      <c r="C7" s="44"/>
      <c r="D7" s="44"/>
      <c r="E7" s="44"/>
      <c r="F7" s="44"/>
      <c r="G7" s="44"/>
      <c r="H7" s="44"/>
      <c r="I7" s="44"/>
      <c r="J7" s="103"/>
      <c r="K7" s="44"/>
      <c r="L7" s="44"/>
      <c r="M7" s="51"/>
      <c r="N7" s="52"/>
      <c r="O7" s="52"/>
      <c r="P7" s="75">
        <v>45006</v>
      </c>
      <c r="Q7" s="58">
        <v>0.87</v>
      </c>
      <c r="R7" s="75"/>
      <c r="S7" s="75">
        <v>45006</v>
      </c>
      <c r="T7" s="58">
        <f>(S7-S6)*$K$4*$U$4/360</f>
        <v>0.87</v>
      </c>
      <c r="U7" s="78">
        <f t="shared" si="0"/>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45037</v>
      </c>
      <c r="Q8" s="58">
        <v>0.96</v>
      </c>
      <c r="R8" s="75"/>
      <c r="S8" s="75">
        <v>45037</v>
      </c>
      <c r="T8" s="58">
        <f>(S8-S7)*$K$4*$U$4/360</f>
        <v>0.96</v>
      </c>
      <c r="U8" s="78">
        <f t="shared" si="0"/>
        <v>0</v>
      </c>
      <c r="V8" s="44"/>
      <c r="W8" s="44"/>
      <c r="X8" s="44"/>
      <c r="Y8" s="44"/>
      <c r="Z8" s="44"/>
      <c r="AA8" s="44"/>
      <c r="AB8" s="44"/>
    </row>
    <row r="9" spans="1:30" s="35" customFormat="1">
      <c r="A9" s="44"/>
      <c r="B9" s="44"/>
      <c r="C9" s="44"/>
      <c r="D9" s="44"/>
      <c r="E9" s="44"/>
      <c r="F9" s="44"/>
      <c r="G9" s="44"/>
      <c r="H9" s="44"/>
      <c r="I9" s="44"/>
      <c r="J9" s="44"/>
      <c r="K9" s="44"/>
      <c r="L9" s="44"/>
      <c r="M9" s="51"/>
      <c r="N9" s="52"/>
      <c r="O9" s="52"/>
      <c r="P9" s="75">
        <v>45067</v>
      </c>
      <c r="Q9" s="58">
        <v>0.93</v>
      </c>
      <c r="R9" s="75"/>
      <c r="S9" s="75">
        <v>45067</v>
      </c>
      <c r="T9" s="58">
        <f>(S9-S8)*$K$4*$U$4/360</f>
        <v>0.93</v>
      </c>
      <c r="U9" s="78">
        <f t="shared" si="0"/>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75">
        <v>45097</v>
      </c>
      <c r="Q10" s="58">
        <v>0.93</v>
      </c>
      <c r="R10" s="75"/>
      <c r="S10" s="75">
        <v>45097</v>
      </c>
      <c r="T10" s="58">
        <f>(S10-S9)*$K$4*$U$4/360</f>
        <v>0.93</v>
      </c>
      <c r="U10" s="78">
        <f t="shared" si="0"/>
        <v>0</v>
      </c>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75"/>
      <c r="S11" s="75"/>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75"/>
      <c r="S12" s="75"/>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75"/>
      <c r="S13" s="75"/>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75"/>
      <c r="S14" s="75"/>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75"/>
      <c r="S15" s="75"/>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75"/>
      <c r="S16" s="75"/>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1">B26</f>
        <v>0</v>
      </c>
      <c r="C48" s="43">
        <f t="shared" si="1"/>
        <v>0</v>
      </c>
      <c r="D48" s="43">
        <f t="shared" si="1"/>
        <v>0</v>
      </c>
      <c r="E48" s="43">
        <f t="shared" si="1"/>
        <v>0</v>
      </c>
      <c r="F48" s="43">
        <f t="shared" si="1"/>
        <v>0</v>
      </c>
      <c r="G48" s="43">
        <f t="shared" si="1"/>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2">B48</f>
        <v>0</v>
      </c>
      <c r="C70" s="43">
        <f t="shared" si="2"/>
        <v>0</v>
      </c>
      <c r="D70" s="43">
        <f t="shared" si="2"/>
        <v>0</v>
      </c>
      <c r="E70" s="43">
        <f t="shared" si="2"/>
        <v>0</v>
      </c>
      <c r="F70" s="43">
        <f t="shared" si="2"/>
        <v>0</v>
      </c>
      <c r="G70" s="43">
        <f t="shared" si="2"/>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3">B70</f>
        <v>0</v>
      </c>
      <c r="C92" s="43">
        <f t="shared" si="3"/>
        <v>0</v>
      </c>
      <c r="D92" s="43">
        <f t="shared" si="3"/>
        <v>0</v>
      </c>
      <c r="E92" s="43">
        <f t="shared" si="3"/>
        <v>0</v>
      </c>
      <c r="F92" s="43">
        <f t="shared" si="3"/>
        <v>0</v>
      </c>
      <c r="G92" s="43">
        <f t="shared" si="3"/>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300</v>
      </c>
      <c r="L114" s="43"/>
      <c r="M114" s="49"/>
      <c r="N114" s="50"/>
      <c r="O114" s="50"/>
      <c r="P114" s="76"/>
      <c r="Q114" s="43"/>
      <c r="R114" s="43">
        <f>R92+R70+R48+R26++R4</f>
        <v>1.5</v>
      </c>
      <c r="S114" s="43"/>
      <c r="T114" s="43"/>
      <c r="U114" s="43"/>
      <c r="V114" s="43"/>
      <c r="W114" s="43"/>
      <c r="X114" s="43"/>
      <c r="Y114" s="43">
        <f>Y92+Y70+Y48+Y26++Y4</f>
        <v>1.48</v>
      </c>
      <c r="Z114" s="43"/>
      <c r="AA114" s="43"/>
      <c r="AB114" s="43"/>
    </row>
    <row r="115" spans="1:28">
      <c r="I115" s="36" t="s">
        <v>49</v>
      </c>
      <c r="K115" s="36">
        <f>IF(K114&gt;3000,K116,K114)</f>
        <v>300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D116"/>
  <sheetViews>
    <sheetView topLeftCell="L1" zoomScale="80" zoomScaleNormal="80" workbookViewId="0">
      <pane ySplit="3" topLeftCell="A32" activePane="bottomLeft" state="frozen"/>
      <selection pane="bottomLeft" activeCell="P59" sqref="P59"/>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四川蜀腾母线有限公司审计明细表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722</v>
      </c>
      <c r="C4" s="43" t="s">
        <v>907</v>
      </c>
      <c r="D4" s="43" t="s">
        <v>908</v>
      </c>
      <c r="E4" s="43" t="s">
        <v>146</v>
      </c>
      <c r="F4" s="43" t="s">
        <v>909</v>
      </c>
      <c r="G4" s="43" t="s">
        <v>910</v>
      </c>
      <c r="H4" s="71" t="s">
        <v>37</v>
      </c>
      <c r="I4" s="43" t="s">
        <v>911</v>
      </c>
      <c r="J4" s="71" t="s">
        <v>912</v>
      </c>
      <c r="K4" s="71">
        <v>140</v>
      </c>
      <c r="L4" s="43" t="s">
        <v>913</v>
      </c>
      <c r="M4" s="49" t="s">
        <v>914</v>
      </c>
      <c r="N4" s="50">
        <v>44923</v>
      </c>
      <c r="O4" s="50">
        <v>45280</v>
      </c>
      <c r="P4" s="43">
        <f>P16-N4</f>
        <v>357</v>
      </c>
      <c r="Q4" s="55">
        <f>SUM(Q5:Q25)</f>
        <v>5.51</v>
      </c>
      <c r="R4" s="55">
        <v>1.5</v>
      </c>
      <c r="S4" s="43"/>
      <c r="T4" s="55">
        <f>SUM(T5:T19)</f>
        <v>5.51</v>
      </c>
      <c r="U4" s="56">
        <v>3.95E-2</v>
      </c>
      <c r="V4" s="50"/>
      <c r="W4" s="43" t="s">
        <v>42</v>
      </c>
      <c r="X4" s="57">
        <v>0.01</v>
      </c>
      <c r="Y4" s="43">
        <f>ROUNDDOWN(IF((O4-N4+1)*K4*X4/365&gt;R4,R4,(O4-N4+1)*K4*X4/365),2)</f>
        <v>1.37</v>
      </c>
      <c r="Z4" s="55">
        <f>R4-Y4</f>
        <v>0.13</v>
      </c>
      <c r="AA4" s="43" t="s">
        <v>160</v>
      </c>
      <c r="AB4" s="43" t="s">
        <v>915</v>
      </c>
      <c r="AD4" s="61">
        <f>(O4-N4+1)*K4*X4/365</f>
        <v>1.3732</v>
      </c>
    </row>
    <row r="5" spans="1:30" s="35" customFormat="1">
      <c r="A5" s="44"/>
      <c r="B5" s="44"/>
      <c r="C5" s="44"/>
      <c r="D5" s="44"/>
      <c r="E5" s="44"/>
      <c r="F5" s="44"/>
      <c r="G5" s="44"/>
      <c r="H5" s="42"/>
      <c r="I5" s="44"/>
      <c r="J5" s="42"/>
      <c r="K5" s="42"/>
      <c r="L5" s="44"/>
      <c r="M5" s="51"/>
      <c r="N5" s="52"/>
      <c r="O5" s="52"/>
      <c r="P5" s="75">
        <v>44947</v>
      </c>
      <c r="Q5" s="58">
        <v>0.37</v>
      </c>
      <c r="R5" s="44"/>
      <c r="S5" s="75">
        <v>44947</v>
      </c>
      <c r="T5" s="58">
        <f>(S5-N4)/360*$U$4*$K$4</f>
        <v>0.37</v>
      </c>
      <c r="U5" s="78">
        <f>T5-Q5</f>
        <v>0</v>
      </c>
      <c r="V5" s="52"/>
      <c r="W5" s="44"/>
      <c r="X5" s="44"/>
      <c r="Y5" s="44" t="s">
        <v>916</v>
      </c>
      <c r="Z5" s="44"/>
      <c r="AA5" s="44"/>
      <c r="AB5" s="44"/>
    </row>
    <row r="6" spans="1:30" s="35" customFormat="1">
      <c r="A6" s="44"/>
      <c r="B6" s="44"/>
      <c r="C6" s="44"/>
      <c r="D6" s="44"/>
      <c r="E6" s="44"/>
      <c r="F6" s="44"/>
      <c r="G6" s="44"/>
      <c r="H6" s="42"/>
      <c r="I6" s="44"/>
      <c r="J6" s="42"/>
      <c r="K6" s="42"/>
      <c r="L6" s="44"/>
      <c r="M6" s="51"/>
      <c r="N6" s="52"/>
      <c r="O6" s="52"/>
      <c r="P6" s="75">
        <v>44978</v>
      </c>
      <c r="Q6" s="58">
        <v>0.48</v>
      </c>
      <c r="R6" s="44"/>
      <c r="S6" s="75">
        <v>44978</v>
      </c>
      <c r="T6" s="58">
        <f>(S6-S5)*$K$4*$U$4/360</f>
        <v>0.48</v>
      </c>
      <c r="U6" s="78">
        <f>T6-Q6</f>
        <v>0</v>
      </c>
      <c r="V6" s="44"/>
      <c r="W6" s="44"/>
      <c r="X6" s="44"/>
      <c r="Y6" s="44"/>
      <c r="Z6" s="44"/>
      <c r="AA6" s="44"/>
      <c r="AB6" s="44"/>
    </row>
    <row r="7" spans="1:30" s="35" customFormat="1">
      <c r="A7" s="44"/>
      <c r="B7" s="44"/>
      <c r="C7" s="44"/>
      <c r="D7" s="44"/>
      <c r="E7" s="44"/>
      <c r="F7" s="44"/>
      <c r="G7" s="44"/>
      <c r="H7" s="42"/>
      <c r="I7" s="44"/>
      <c r="J7" s="42"/>
      <c r="K7" s="42"/>
      <c r="L7" s="44"/>
      <c r="M7" s="51"/>
      <c r="N7" s="52"/>
      <c r="O7" s="52"/>
      <c r="P7" s="75">
        <v>45006</v>
      </c>
      <c r="Q7" s="58">
        <v>0.43</v>
      </c>
      <c r="R7" s="44"/>
      <c r="S7" s="75">
        <v>45006</v>
      </c>
      <c r="T7" s="58">
        <f>(S7-S6)*$K$4*$U$4/360</f>
        <v>0.43</v>
      </c>
      <c r="U7" s="78">
        <f t="shared" ref="U7:U16" si="0">T7-Q7</f>
        <v>0</v>
      </c>
      <c r="V7" s="44"/>
      <c r="W7" s="44"/>
      <c r="X7" s="44"/>
      <c r="Y7" s="44"/>
      <c r="Z7" s="44"/>
      <c r="AA7" s="44"/>
      <c r="AB7" s="44"/>
    </row>
    <row r="8" spans="1:30" s="35" customFormat="1">
      <c r="A8" s="44"/>
      <c r="B8" s="44"/>
      <c r="C8" s="44"/>
      <c r="D8" s="44"/>
      <c r="E8" s="44"/>
      <c r="F8" s="44"/>
      <c r="G8" s="44"/>
      <c r="H8" s="42"/>
      <c r="I8" s="44"/>
      <c r="J8" s="42"/>
      <c r="K8" s="42"/>
      <c r="L8" s="44"/>
      <c r="M8" s="51"/>
      <c r="N8" s="52"/>
      <c r="O8" s="52"/>
      <c r="P8" s="75">
        <v>45037</v>
      </c>
      <c r="Q8" s="58">
        <v>0.48</v>
      </c>
      <c r="R8" s="44"/>
      <c r="S8" s="75">
        <v>45037</v>
      </c>
      <c r="T8" s="58">
        <f>(S8-S7)*$K$4*$U$4/360</f>
        <v>0.48</v>
      </c>
      <c r="U8" s="78">
        <f t="shared" si="0"/>
        <v>0</v>
      </c>
      <c r="V8" s="44"/>
      <c r="W8" s="44"/>
      <c r="X8" s="44"/>
      <c r="Y8" s="44"/>
      <c r="Z8" s="44"/>
      <c r="AA8" s="44"/>
      <c r="AB8" s="44"/>
    </row>
    <row r="9" spans="1:30" s="35" customFormat="1">
      <c r="A9" s="44"/>
      <c r="B9" s="44"/>
      <c r="C9" s="44"/>
      <c r="D9" s="44"/>
      <c r="E9" s="44"/>
      <c r="F9" s="44"/>
      <c r="G9" s="44"/>
      <c r="H9" s="42"/>
      <c r="I9" s="44"/>
      <c r="J9" s="42"/>
      <c r="K9" s="42"/>
      <c r="L9" s="44"/>
      <c r="M9" s="51"/>
      <c r="N9" s="52"/>
      <c r="O9" s="52"/>
      <c r="P9" s="75">
        <v>45067</v>
      </c>
      <c r="Q9" s="58">
        <v>0.46</v>
      </c>
      <c r="R9" s="44"/>
      <c r="S9" s="75">
        <v>45067</v>
      </c>
      <c r="T9" s="58">
        <f t="shared" ref="T9:T16" si="1">(S9-S8)*$K$4*$U$4/360</f>
        <v>0.46</v>
      </c>
      <c r="U9" s="78">
        <f t="shared" si="0"/>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52"/>
      <c r="P10" s="75">
        <v>45098</v>
      </c>
      <c r="Q10" s="58">
        <v>0.48</v>
      </c>
      <c r="R10" s="44"/>
      <c r="S10" s="75">
        <v>45098</v>
      </c>
      <c r="T10" s="58">
        <f t="shared" si="1"/>
        <v>0.48</v>
      </c>
      <c r="U10" s="78">
        <f t="shared" si="0"/>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45128</v>
      </c>
      <c r="Q11" s="58">
        <v>0.46</v>
      </c>
      <c r="R11" s="44"/>
      <c r="S11" s="75">
        <v>45128</v>
      </c>
      <c r="T11" s="58">
        <f t="shared" si="1"/>
        <v>0.46</v>
      </c>
      <c r="U11" s="78">
        <f t="shared" si="0"/>
        <v>0</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45159</v>
      </c>
      <c r="Q12" s="58">
        <v>0.48</v>
      </c>
      <c r="R12" s="44"/>
      <c r="S12" s="75">
        <v>45159</v>
      </c>
      <c r="T12" s="58">
        <f t="shared" si="1"/>
        <v>0.48</v>
      </c>
      <c r="U12" s="78">
        <f t="shared" si="0"/>
        <v>0</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45190</v>
      </c>
      <c r="Q13" s="58">
        <v>0.48</v>
      </c>
      <c r="R13" s="44"/>
      <c r="S13" s="75">
        <v>45190</v>
      </c>
      <c r="T13" s="58">
        <f t="shared" si="1"/>
        <v>0.48</v>
      </c>
      <c r="U13" s="78">
        <f t="shared" si="0"/>
        <v>0</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45220</v>
      </c>
      <c r="Q14" s="58">
        <v>0.46</v>
      </c>
      <c r="R14" s="44"/>
      <c r="S14" s="75">
        <v>45220</v>
      </c>
      <c r="T14" s="58">
        <f t="shared" si="1"/>
        <v>0.46</v>
      </c>
      <c r="U14" s="78">
        <f t="shared" si="0"/>
        <v>0</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45251</v>
      </c>
      <c r="Q15" s="58">
        <v>0.48</v>
      </c>
      <c r="R15" s="44"/>
      <c r="S15" s="75">
        <v>45251</v>
      </c>
      <c r="T15" s="58">
        <f t="shared" si="1"/>
        <v>0.48</v>
      </c>
      <c r="U15" s="78">
        <f t="shared" si="0"/>
        <v>0</v>
      </c>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v>45280</v>
      </c>
      <c r="Q16" s="58">
        <v>0.45</v>
      </c>
      <c r="R16" s="44"/>
      <c r="S16" s="75">
        <v>45280</v>
      </c>
      <c r="T16" s="58">
        <f t="shared" si="1"/>
        <v>0.45</v>
      </c>
      <c r="U16" s="78">
        <f t="shared" si="0"/>
        <v>0</v>
      </c>
      <c r="V16" s="44"/>
      <c r="W16" s="44"/>
      <c r="X16" s="44"/>
      <c r="Y16" s="44"/>
      <c r="Z16" s="44"/>
      <c r="AA16" s="44"/>
      <c r="AB16" s="44"/>
    </row>
    <row r="17" spans="1:28" s="35" customFormat="1" hidden="1">
      <c r="A17" s="44"/>
      <c r="B17" s="44"/>
      <c r="C17" s="44"/>
      <c r="D17" s="44"/>
      <c r="E17" s="44"/>
      <c r="F17" s="44"/>
      <c r="G17" s="44"/>
      <c r="H17" s="42"/>
      <c r="I17" s="44"/>
      <c r="J17" s="42"/>
      <c r="K17" s="42"/>
      <c r="L17" s="44"/>
      <c r="M17" s="51"/>
      <c r="N17" s="52"/>
      <c r="O17" s="52"/>
      <c r="P17" s="75"/>
      <c r="Q17" s="58"/>
      <c r="R17" s="44"/>
      <c r="S17" s="75"/>
      <c r="T17" s="58"/>
      <c r="U17" s="58"/>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75"/>
      <c r="T18" s="58"/>
      <c r="U18" s="58"/>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75"/>
      <c r="T19" s="58"/>
      <c r="U19" s="58"/>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722</v>
      </c>
      <c r="C26" s="43" t="s">
        <v>907</v>
      </c>
      <c r="D26" s="43" t="s">
        <v>908</v>
      </c>
      <c r="E26" s="43" t="s">
        <v>146</v>
      </c>
      <c r="F26" s="43" t="s">
        <v>909</v>
      </c>
      <c r="G26" s="43" t="s">
        <v>910</v>
      </c>
      <c r="H26" s="71" t="s">
        <v>37</v>
      </c>
      <c r="I26" s="43" t="s">
        <v>911</v>
      </c>
      <c r="J26" s="71" t="s">
        <v>917</v>
      </c>
      <c r="K26" s="71">
        <v>160</v>
      </c>
      <c r="L26" s="43" t="s">
        <v>918</v>
      </c>
      <c r="M26" s="49" t="s">
        <v>919</v>
      </c>
      <c r="N26" s="50">
        <v>44923</v>
      </c>
      <c r="O26" s="50">
        <v>45154</v>
      </c>
      <c r="P26" s="43">
        <f>P34-N26</f>
        <v>231</v>
      </c>
      <c r="Q26" s="55">
        <f>SUM(Q27:Q38)</f>
        <v>4.05</v>
      </c>
      <c r="R26" s="43">
        <v>1.1100000000000001</v>
      </c>
      <c r="S26" s="43"/>
      <c r="T26" s="84">
        <f>SUM(T27:T38)</f>
        <v>4.05</v>
      </c>
      <c r="U26" s="56">
        <v>3.95E-2</v>
      </c>
      <c r="V26" s="50"/>
      <c r="W26" s="43" t="s">
        <v>42</v>
      </c>
      <c r="X26" s="57">
        <v>0.01</v>
      </c>
      <c r="Y26" s="43">
        <f>ROUNDDOWN(IF((O26-N26+1)*K26*X26/365&gt;R26,R26,(O26-N26+1)*K26*X26/365),2)</f>
        <v>1.01</v>
      </c>
      <c r="Z26" s="43">
        <f>R26-Y26</f>
        <v>0.1</v>
      </c>
      <c r="AA26" s="43" t="s">
        <v>160</v>
      </c>
      <c r="AB26" s="43" t="s">
        <v>61</v>
      </c>
    </row>
    <row r="27" spans="1:28" s="35" customFormat="1">
      <c r="A27" s="44"/>
      <c r="B27" s="44"/>
      <c r="C27" s="44"/>
      <c r="D27" s="44"/>
      <c r="E27" s="44"/>
      <c r="F27" s="44"/>
      <c r="G27" s="44"/>
      <c r="H27" s="42"/>
      <c r="I27" s="44"/>
      <c r="J27" s="42"/>
      <c r="K27" s="42"/>
      <c r="L27" s="44"/>
      <c r="M27" s="51"/>
      <c r="N27" s="52"/>
      <c r="O27" s="52"/>
      <c r="P27" s="75">
        <v>44947</v>
      </c>
      <c r="Q27" s="58">
        <v>0.42</v>
      </c>
      <c r="R27" s="44"/>
      <c r="S27" s="75">
        <v>44947</v>
      </c>
      <c r="T27" s="58">
        <f>(S27-N26)/360*$U$26*$K$26</f>
        <v>0.42</v>
      </c>
      <c r="U27" s="78">
        <f>T27-Q27</f>
        <v>0</v>
      </c>
      <c r="V27" s="52"/>
      <c r="W27" s="44"/>
      <c r="X27" s="44"/>
      <c r="Y27" s="62">
        <f>ROUNDUP((V27-N26)*K26*X26/365,2)</f>
        <v>-196.93</v>
      </c>
      <c r="Z27" s="44"/>
      <c r="AA27" s="44"/>
      <c r="AB27" s="44"/>
    </row>
    <row r="28" spans="1:28" s="35" customFormat="1">
      <c r="A28" s="44"/>
      <c r="B28" s="44"/>
      <c r="C28" s="44"/>
      <c r="D28" s="44"/>
      <c r="E28" s="44"/>
      <c r="F28" s="44"/>
      <c r="G28" s="44"/>
      <c r="H28" s="42"/>
      <c r="I28" s="44"/>
      <c r="J28" s="42"/>
      <c r="K28" s="42"/>
      <c r="L28" s="44"/>
      <c r="M28" s="51"/>
      <c r="N28" s="52"/>
      <c r="O28" s="52"/>
      <c r="P28" s="75">
        <v>44978</v>
      </c>
      <c r="Q28" s="58">
        <v>0.54</v>
      </c>
      <c r="R28" s="44"/>
      <c r="S28" s="75">
        <v>44978</v>
      </c>
      <c r="T28" s="58">
        <f t="shared" ref="T28:T34" si="2">(S28-S27)*$U$26*$K$26/360</f>
        <v>0.54</v>
      </c>
      <c r="U28" s="78">
        <f t="shared" ref="U28:U34" si="3">T28-Q28</f>
        <v>0</v>
      </c>
      <c r="V28" s="44"/>
      <c r="W28" s="44"/>
      <c r="X28" s="44"/>
      <c r="Y28" s="62">
        <f>ROUNDUP((O26-V27+1)*(K26-W27)*X26/365,2)</f>
        <v>197.94</v>
      </c>
      <c r="Z28" s="44"/>
      <c r="AA28" s="44"/>
      <c r="AB28" s="44"/>
    </row>
    <row r="29" spans="1:28" s="35" customFormat="1">
      <c r="A29" s="44"/>
      <c r="B29" s="44"/>
      <c r="C29" s="44"/>
      <c r="D29" s="44"/>
      <c r="E29" s="44"/>
      <c r="F29" s="44"/>
      <c r="G29" s="44"/>
      <c r="H29" s="42"/>
      <c r="I29" s="44"/>
      <c r="J29" s="42"/>
      <c r="K29" s="42"/>
      <c r="L29" s="44"/>
      <c r="M29" s="51"/>
      <c r="N29" s="52"/>
      <c r="O29" s="52"/>
      <c r="P29" s="75">
        <v>45006</v>
      </c>
      <c r="Q29" s="58">
        <v>0.49</v>
      </c>
      <c r="R29" s="44"/>
      <c r="S29" s="75">
        <v>45006</v>
      </c>
      <c r="T29" s="58">
        <f t="shared" si="2"/>
        <v>0.49</v>
      </c>
      <c r="U29" s="78">
        <f t="shared" si="3"/>
        <v>0</v>
      </c>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v>45037</v>
      </c>
      <c r="Q30" s="58">
        <v>0.54</v>
      </c>
      <c r="R30" s="44"/>
      <c r="S30" s="75">
        <v>45037</v>
      </c>
      <c r="T30" s="58">
        <f t="shared" si="2"/>
        <v>0.54</v>
      </c>
      <c r="U30" s="78">
        <f t="shared" si="3"/>
        <v>0</v>
      </c>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v>45067</v>
      </c>
      <c r="Q31" s="58">
        <v>0.53</v>
      </c>
      <c r="R31" s="44"/>
      <c r="S31" s="75">
        <v>45067</v>
      </c>
      <c r="T31" s="58">
        <f t="shared" si="2"/>
        <v>0.53</v>
      </c>
      <c r="U31" s="78">
        <f t="shared" si="3"/>
        <v>0</v>
      </c>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v>45098</v>
      </c>
      <c r="Q32" s="58">
        <v>0.54</v>
      </c>
      <c r="R32" s="44"/>
      <c r="S32" s="75">
        <v>45098</v>
      </c>
      <c r="T32" s="58">
        <f t="shared" si="2"/>
        <v>0.54</v>
      </c>
      <c r="U32" s="78">
        <f t="shared" si="3"/>
        <v>0</v>
      </c>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v>45128</v>
      </c>
      <c r="Q33" s="58">
        <v>0.53</v>
      </c>
      <c r="R33" s="44"/>
      <c r="S33" s="75">
        <v>45128</v>
      </c>
      <c r="T33" s="58">
        <f t="shared" si="2"/>
        <v>0.53</v>
      </c>
      <c r="U33" s="78">
        <f t="shared" si="3"/>
        <v>0</v>
      </c>
      <c r="V33" s="44"/>
      <c r="W33" s="44"/>
      <c r="X33" s="44"/>
      <c r="Y33" s="44"/>
      <c r="Z33" s="44"/>
      <c r="AA33" s="44"/>
      <c r="AB33" s="44"/>
    </row>
    <row r="34" spans="1:28" s="35" customFormat="1">
      <c r="A34" s="44"/>
      <c r="B34" s="44"/>
      <c r="C34" s="44"/>
      <c r="D34" s="44"/>
      <c r="E34" s="44"/>
      <c r="F34" s="44"/>
      <c r="G34" s="44"/>
      <c r="H34" s="42"/>
      <c r="I34" s="44"/>
      <c r="J34" s="42"/>
      <c r="K34" s="42"/>
      <c r="L34" s="44"/>
      <c r="M34" s="51"/>
      <c r="N34" s="52"/>
      <c r="O34" s="52"/>
      <c r="P34" s="75">
        <v>45154</v>
      </c>
      <c r="Q34" s="58">
        <v>0.46</v>
      </c>
      <c r="R34" s="44"/>
      <c r="S34" s="75">
        <v>45154</v>
      </c>
      <c r="T34" s="58">
        <f t="shared" si="2"/>
        <v>0.46</v>
      </c>
      <c r="U34" s="78">
        <f t="shared" si="3"/>
        <v>0</v>
      </c>
      <c r="V34" s="44"/>
      <c r="W34" s="44"/>
      <c r="X34" s="44"/>
      <c r="Y34" s="44"/>
      <c r="Z34" s="44"/>
      <c r="AA34" s="44"/>
      <c r="AB34" s="44"/>
    </row>
    <row r="35" spans="1:28" s="35" customFormat="1" hidden="1">
      <c r="A35" s="44"/>
      <c r="B35" s="44"/>
      <c r="C35" s="44"/>
      <c r="D35" s="44"/>
      <c r="E35" s="44"/>
      <c r="F35" s="44"/>
      <c r="G35" s="44"/>
      <c r="H35" s="42"/>
      <c r="I35" s="44"/>
      <c r="J35" s="42"/>
      <c r="K35" s="42"/>
      <c r="L35" s="44"/>
      <c r="M35" s="51"/>
      <c r="N35" s="52"/>
      <c r="O35" s="52"/>
      <c r="P35" s="75"/>
      <c r="Q35" s="58"/>
      <c r="R35" s="44"/>
      <c r="S35" s="75"/>
      <c r="T35" s="58"/>
      <c r="U35" s="78"/>
      <c r="V35" s="44"/>
      <c r="W35" s="44"/>
      <c r="X35" s="44"/>
      <c r="Y35" s="44"/>
      <c r="Z35" s="44"/>
      <c r="AA35" s="44"/>
      <c r="AB35" s="44"/>
    </row>
    <row r="36" spans="1:28" s="35" customFormat="1" hidden="1">
      <c r="A36" s="44"/>
      <c r="B36" s="44"/>
      <c r="C36" s="44"/>
      <c r="D36" s="44"/>
      <c r="E36" s="44"/>
      <c r="F36" s="44"/>
      <c r="G36" s="44"/>
      <c r="H36" s="42"/>
      <c r="I36" s="44"/>
      <c r="J36" s="42"/>
      <c r="K36" s="42"/>
      <c r="L36" s="44"/>
      <c r="M36" s="51"/>
      <c r="N36" s="52"/>
      <c r="O36" s="52"/>
      <c r="P36" s="75"/>
      <c r="Q36" s="58"/>
      <c r="R36" s="44"/>
      <c r="S36" s="75"/>
      <c r="T36" s="58"/>
      <c r="U36" s="58"/>
      <c r="V36" s="44"/>
      <c r="W36" s="44"/>
      <c r="X36" s="44"/>
      <c r="Y36" s="44"/>
      <c r="Z36" s="44"/>
      <c r="AA36" s="44"/>
      <c r="AB36" s="44"/>
    </row>
    <row r="37" spans="1:28" s="35" customFormat="1" hidden="1">
      <c r="A37" s="44"/>
      <c r="B37" s="44"/>
      <c r="C37" s="44"/>
      <c r="D37" s="44"/>
      <c r="E37" s="44"/>
      <c r="F37" s="44"/>
      <c r="G37" s="44"/>
      <c r="H37" s="42"/>
      <c r="I37" s="44"/>
      <c r="J37" s="42"/>
      <c r="K37" s="42"/>
      <c r="L37" s="44"/>
      <c r="M37" s="51"/>
      <c r="N37" s="52"/>
      <c r="O37" s="52"/>
      <c r="P37" s="75"/>
      <c r="Q37" s="58"/>
      <c r="R37" s="44"/>
      <c r="S37" s="75"/>
      <c r="T37" s="58"/>
      <c r="U37" s="58"/>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75"/>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t="98">
      <c r="A48" s="43">
        <v>3</v>
      </c>
      <c r="B48" s="43" t="s">
        <v>722</v>
      </c>
      <c r="C48" s="43" t="s">
        <v>907</v>
      </c>
      <c r="D48" s="43" t="s">
        <v>908</v>
      </c>
      <c r="E48" s="43" t="s">
        <v>146</v>
      </c>
      <c r="F48" s="43" t="s">
        <v>909</v>
      </c>
      <c r="G48" s="43" t="s">
        <v>910</v>
      </c>
      <c r="H48" s="71" t="s">
        <v>37</v>
      </c>
      <c r="I48" s="43" t="s">
        <v>911</v>
      </c>
      <c r="J48" s="71" t="s">
        <v>73</v>
      </c>
      <c r="K48" s="71">
        <v>200</v>
      </c>
      <c r="L48" s="43" t="s">
        <v>920</v>
      </c>
      <c r="M48" s="49" t="s">
        <v>921</v>
      </c>
      <c r="N48" s="50">
        <v>44923</v>
      </c>
      <c r="O48" s="50">
        <v>45282</v>
      </c>
      <c r="P48" s="43">
        <f>P60-N48</f>
        <v>358</v>
      </c>
      <c r="Q48" s="55">
        <f>SUM(Q49:Q69)</f>
        <v>7.86</v>
      </c>
      <c r="R48" s="43">
        <v>2.15</v>
      </c>
      <c r="S48" s="43"/>
      <c r="T48" s="43">
        <f>SUM(T49:T60)</f>
        <v>7.86</v>
      </c>
      <c r="U48" s="56">
        <v>3.95E-2</v>
      </c>
      <c r="V48" s="50"/>
      <c r="W48" s="43" t="s">
        <v>42</v>
      </c>
      <c r="X48" s="57">
        <v>0.01</v>
      </c>
      <c r="Y48" s="43">
        <f>ROUNDDOWN(IF((O48-N48+1)*K48*X48/365&gt;R48,R48,(O48-N48+1)*K48*X48/365),2)</f>
        <v>1.97</v>
      </c>
      <c r="Z48" s="43">
        <f>R48-Y48</f>
        <v>0.18</v>
      </c>
      <c r="AA48" s="43" t="s">
        <v>160</v>
      </c>
      <c r="AB48" s="43" t="s">
        <v>61</v>
      </c>
    </row>
    <row r="49" spans="1:28" s="35" customFormat="1">
      <c r="A49" s="44"/>
      <c r="B49" s="44"/>
      <c r="C49" s="44"/>
      <c r="D49" s="44"/>
      <c r="E49" s="44"/>
      <c r="F49" s="44"/>
      <c r="G49" s="44"/>
      <c r="H49" s="42"/>
      <c r="I49" s="44"/>
      <c r="J49" s="42"/>
      <c r="K49" s="42"/>
      <c r="L49" s="44"/>
      <c r="M49" s="51"/>
      <c r="N49" s="52"/>
      <c r="O49" s="52"/>
      <c r="P49" s="75">
        <v>44947</v>
      </c>
      <c r="Q49" s="58">
        <v>0.53</v>
      </c>
      <c r="R49" s="44"/>
      <c r="S49" s="75">
        <v>44947</v>
      </c>
      <c r="T49" s="58">
        <f>(S49-N48)/360*$U$48*$K$48</f>
        <v>0.53</v>
      </c>
      <c r="U49" s="78">
        <f>T49-Q49</f>
        <v>0</v>
      </c>
      <c r="V49" s="52"/>
      <c r="W49" s="44"/>
      <c r="X49" s="44"/>
      <c r="Y49" s="62">
        <f>ROUNDUP((V49-N48)*K48*X48/365,2)</f>
        <v>-246.16</v>
      </c>
      <c r="Z49" s="44"/>
      <c r="AA49" s="44"/>
      <c r="AB49" s="44"/>
    </row>
    <row r="50" spans="1:28" s="35" customFormat="1">
      <c r="A50" s="44"/>
      <c r="B50" s="44"/>
      <c r="C50" s="44"/>
      <c r="D50" s="44"/>
      <c r="E50" s="44"/>
      <c r="F50" s="44"/>
      <c r="G50" s="44"/>
      <c r="H50" s="42"/>
      <c r="I50" s="44"/>
      <c r="J50" s="42"/>
      <c r="K50" s="42"/>
      <c r="L50" s="44"/>
      <c r="M50" s="51"/>
      <c r="N50" s="52"/>
      <c r="O50" s="52"/>
      <c r="P50" s="75">
        <v>44978</v>
      </c>
      <c r="Q50" s="58">
        <v>0.68</v>
      </c>
      <c r="R50" s="44"/>
      <c r="S50" s="75">
        <v>44978</v>
      </c>
      <c r="T50" s="58">
        <f>(S50-S49)*$U$48*$K$48/360</f>
        <v>0.68</v>
      </c>
      <c r="U50" s="78">
        <f>T50-Q50</f>
        <v>0</v>
      </c>
      <c r="V50" s="44"/>
      <c r="W50" s="44"/>
      <c r="X50" s="44"/>
      <c r="Y50" s="62"/>
      <c r="Z50" s="44"/>
      <c r="AA50" s="44"/>
      <c r="AB50" s="44"/>
    </row>
    <row r="51" spans="1:28" s="35" customFormat="1">
      <c r="A51" s="44"/>
      <c r="B51" s="44"/>
      <c r="C51" s="44"/>
      <c r="D51" s="44"/>
      <c r="E51" s="44"/>
      <c r="F51" s="44"/>
      <c r="G51" s="44"/>
      <c r="H51" s="42"/>
      <c r="I51" s="44"/>
      <c r="J51" s="42"/>
      <c r="K51" s="42"/>
      <c r="L51" s="44"/>
      <c r="M51" s="51"/>
      <c r="N51" s="52"/>
      <c r="O51" s="52"/>
      <c r="P51" s="75">
        <v>45006</v>
      </c>
      <c r="Q51" s="58">
        <v>0.61</v>
      </c>
      <c r="R51" s="44"/>
      <c r="S51" s="75">
        <v>45006</v>
      </c>
      <c r="T51" s="58">
        <f>(S51-S50)*$U$48*$K$48/360</f>
        <v>0.61</v>
      </c>
      <c r="U51" s="78">
        <f t="shared" ref="U51:U60" si="4">T51-Q51</f>
        <v>0</v>
      </c>
      <c r="V51" s="44"/>
      <c r="W51" s="44"/>
      <c r="X51" s="44"/>
      <c r="Y51" s="44"/>
      <c r="Z51" s="44"/>
      <c r="AA51" s="44"/>
      <c r="AB51" s="44"/>
    </row>
    <row r="52" spans="1:28" s="35" customFormat="1">
      <c r="A52" s="44"/>
      <c r="B52" s="44"/>
      <c r="C52" s="44"/>
      <c r="D52" s="44"/>
      <c r="E52" s="44"/>
      <c r="F52" s="44"/>
      <c r="G52" s="44"/>
      <c r="H52" s="42"/>
      <c r="I52" s="44"/>
      <c r="J52" s="42"/>
      <c r="K52" s="42"/>
      <c r="L52" s="44"/>
      <c r="M52" s="51"/>
      <c r="N52" s="52"/>
      <c r="O52" s="52"/>
      <c r="P52" s="75">
        <v>45037</v>
      </c>
      <c r="Q52" s="58">
        <v>0.68</v>
      </c>
      <c r="R52" s="44"/>
      <c r="S52" s="75">
        <v>45037</v>
      </c>
      <c r="T52" s="58">
        <f t="shared" ref="T52:T60" si="5">(S52-S51)*$U$48*$K$48/360</f>
        <v>0.68</v>
      </c>
      <c r="U52" s="78">
        <f t="shared" si="4"/>
        <v>0</v>
      </c>
      <c r="V52" s="44"/>
      <c r="W52" s="44"/>
      <c r="X52" s="44"/>
      <c r="Y52" s="44"/>
      <c r="Z52" s="44"/>
      <c r="AA52" s="44"/>
      <c r="AB52" s="44"/>
    </row>
    <row r="53" spans="1:28" s="35" customFormat="1">
      <c r="A53" s="44"/>
      <c r="B53" s="44"/>
      <c r="C53" s="44"/>
      <c r="D53" s="44"/>
      <c r="E53" s="44"/>
      <c r="F53" s="44"/>
      <c r="G53" s="44"/>
      <c r="H53" s="42"/>
      <c r="I53" s="44"/>
      <c r="J53" s="42"/>
      <c r="K53" s="42"/>
      <c r="L53" s="44"/>
      <c r="M53" s="51"/>
      <c r="N53" s="52"/>
      <c r="O53" s="52"/>
      <c r="P53" s="75">
        <v>45067</v>
      </c>
      <c r="Q53" s="58">
        <v>0.66</v>
      </c>
      <c r="R53" s="44"/>
      <c r="S53" s="75">
        <v>45067</v>
      </c>
      <c r="T53" s="58">
        <f t="shared" si="5"/>
        <v>0.66</v>
      </c>
      <c r="U53" s="78">
        <f t="shared" si="4"/>
        <v>0</v>
      </c>
      <c r="V53" s="44"/>
      <c r="W53" s="44"/>
      <c r="X53" s="44"/>
      <c r="Y53" s="44"/>
      <c r="Z53" s="44"/>
      <c r="AA53" s="44"/>
      <c r="AB53" s="44"/>
    </row>
    <row r="54" spans="1:28" s="35" customFormat="1">
      <c r="A54" s="44"/>
      <c r="B54" s="44"/>
      <c r="C54" s="44"/>
      <c r="D54" s="44"/>
      <c r="E54" s="44"/>
      <c r="F54" s="44"/>
      <c r="G54" s="44"/>
      <c r="H54" s="42"/>
      <c r="I54" s="44"/>
      <c r="J54" s="42"/>
      <c r="K54" s="42"/>
      <c r="L54" s="44"/>
      <c r="M54" s="51"/>
      <c r="N54" s="52"/>
      <c r="O54" s="52"/>
      <c r="P54" s="75">
        <v>45098</v>
      </c>
      <c r="Q54" s="58">
        <v>0.68</v>
      </c>
      <c r="R54" s="44"/>
      <c r="S54" s="75">
        <v>45098</v>
      </c>
      <c r="T54" s="58">
        <f t="shared" si="5"/>
        <v>0.68</v>
      </c>
      <c r="U54" s="78">
        <f t="shared" si="4"/>
        <v>0</v>
      </c>
      <c r="V54" s="44"/>
      <c r="W54" s="44"/>
      <c r="X54" s="44"/>
      <c r="Y54" s="44"/>
      <c r="Z54" s="44"/>
      <c r="AA54" s="44"/>
      <c r="AB54" s="44"/>
    </row>
    <row r="55" spans="1:28" s="35" customFormat="1">
      <c r="A55" s="44"/>
      <c r="B55" s="44"/>
      <c r="C55" s="44"/>
      <c r="D55" s="44"/>
      <c r="E55" s="44"/>
      <c r="F55" s="44"/>
      <c r="G55" s="44"/>
      <c r="H55" s="42"/>
      <c r="I55" s="44"/>
      <c r="J55" s="42"/>
      <c r="K55" s="42"/>
      <c r="L55" s="44"/>
      <c r="M55" s="51"/>
      <c r="N55" s="52"/>
      <c r="O55" s="52"/>
      <c r="P55" s="75">
        <v>45128</v>
      </c>
      <c r="Q55" s="58">
        <v>0.66</v>
      </c>
      <c r="R55" s="44"/>
      <c r="S55" s="75">
        <v>45128</v>
      </c>
      <c r="T55" s="58">
        <f t="shared" si="5"/>
        <v>0.66</v>
      </c>
      <c r="U55" s="78">
        <f t="shared" si="4"/>
        <v>0</v>
      </c>
      <c r="V55" s="44"/>
      <c r="W55" s="44"/>
      <c r="X55" s="44"/>
      <c r="Y55" s="44"/>
      <c r="Z55" s="44"/>
      <c r="AA55" s="44"/>
      <c r="AB55" s="44"/>
    </row>
    <row r="56" spans="1:28" s="35" customFormat="1">
      <c r="A56" s="44"/>
      <c r="B56" s="44"/>
      <c r="C56" s="44"/>
      <c r="D56" s="44"/>
      <c r="E56" s="44"/>
      <c r="F56" s="44"/>
      <c r="G56" s="44"/>
      <c r="H56" s="42"/>
      <c r="I56" s="44"/>
      <c r="J56" s="42"/>
      <c r="K56" s="42"/>
      <c r="L56" s="44"/>
      <c r="M56" s="51"/>
      <c r="N56" s="52"/>
      <c r="O56" s="52"/>
      <c r="P56" s="75">
        <v>45159</v>
      </c>
      <c r="Q56" s="58">
        <v>0.68</v>
      </c>
      <c r="R56" s="44"/>
      <c r="S56" s="75">
        <v>45159</v>
      </c>
      <c r="T56" s="58">
        <f t="shared" si="5"/>
        <v>0.68</v>
      </c>
      <c r="U56" s="78">
        <f t="shared" si="4"/>
        <v>0</v>
      </c>
      <c r="V56" s="44"/>
      <c r="W56" s="44"/>
      <c r="X56" s="44"/>
      <c r="Y56" s="44"/>
      <c r="Z56" s="44"/>
      <c r="AA56" s="44"/>
      <c r="AB56" s="44"/>
    </row>
    <row r="57" spans="1:28" s="35" customFormat="1">
      <c r="A57" s="44"/>
      <c r="B57" s="44"/>
      <c r="C57" s="44"/>
      <c r="D57" s="44"/>
      <c r="E57" s="44"/>
      <c r="F57" s="44"/>
      <c r="G57" s="44"/>
      <c r="H57" s="42"/>
      <c r="I57" s="44"/>
      <c r="J57" s="42"/>
      <c r="K57" s="42"/>
      <c r="L57" s="44"/>
      <c r="M57" s="51"/>
      <c r="N57" s="52"/>
      <c r="O57" s="52"/>
      <c r="P57" s="75">
        <v>45190</v>
      </c>
      <c r="Q57" s="58">
        <v>0.68</v>
      </c>
      <c r="R57" s="44"/>
      <c r="S57" s="75">
        <v>45190</v>
      </c>
      <c r="T57" s="58">
        <f t="shared" si="5"/>
        <v>0.68</v>
      </c>
      <c r="U57" s="78">
        <f t="shared" si="4"/>
        <v>0</v>
      </c>
      <c r="V57" s="44"/>
      <c r="W57" s="44"/>
      <c r="X57" s="44"/>
      <c r="Y57" s="44"/>
      <c r="Z57" s="44"/>
      <c r="AA57" s="44"/>
      <c r="AB57" s="44"/>
    </row>
    <row r="58" spans="1:28" s="35" customFormat="1">
      <c r="A58" s="44"/>
      <c r="B58" s="44"/>
      <c r="C58" s="44"/>
      <c r="D58" s="44"/>
      <c r="E58" s="44"/>
      <c r="F58" s="44"/>
      <c r="G58" s="44"/>
      <c r="H58" s="42"/>
      <c r="I58" s="44"/>
      <c r="J58" s="42"/>
      <c r="K58" s="42"/>
      <c r="L58" s="44"/>
      <c r="M58" s="51"/>
      <c r="N58" s="52"/>
      <c r="O58" s="52"/>
      <c r="P58" s="75">
        <v>45220</v>
      </c>
      <c r="Q58" s="58">
        <v>0.66</v>
      </c>
      <c r="R58" s="44"/>
      <c r="S58" s="75">
        <v>45220</v>
      </c>
      <c r="T58" s="58">
        <f t="shared" si="5"/>
        <v>0.66</v>
      </c>
      <c r="U58" s="78">
        <f t="shared" si="4"/>
        <v>0</v>
      </c>
      <c r="V58" s="44"/>
      <c r="W58" s="44"/>
      <c r="X58" s="44"/>
      <c r="Y58" s="44"/>
      <c r="Z58" s="44"/>
      <c r="AA58" s="44"/>
      <c r="AB58" s="44"/>
    </row>
    <row r="59" spans="1:28" s="35" customFormat="1">
      <c r="A59" s="44"/>
      <c r="B59" s="44"/>
      <c r="C59" s="44"/>
      <c r="D59" s="44"/>
      <c r="E59" s="44"/>
      <c r="F59" s="44"/>
      <c r="G59" s="44"/>
      <c r="H59" s="42"/>
      <c r="I59" s="44"/>
      <c r="J59" s="42"/>
      <c r="K59" s="42"/>
      <c r="L59" s="44"/>
      <c r="M59" s="51"/>
      <c r="N59" s="52"/>
      <c r="O59" s="52"/>
      <c r="P59" s="75">
        <v>45251</v>
      </c>
      <c r="Q59" s="58">
        <v>0.68</v>
      </c>
      <c r="R59" s="44"/>
      <c r="S59" s="75">
        <v>45251</v>
      </c>
      <c r="T59" s="58">
        <f t="shared" si="5"/>
        <v>0.68</v>
      </c>
      <c r="U59" s="78">
        <f t="shared" si="4"/>
        <v>0</v>
      </c>
      <c r="V59" s="44"/>
      <c r="W59" s="44"/>
      <c r="X59" s="44"/>
      <c r="Y59" s="44"/>
      <c r="Z59" s="44"/>
      <c r="AA59" s="44"/>
      <c r="AB59" s="44"/>
    </row>
    <row r="60" spans="1:28" s="35" customFormat="1">
      <c r="A60" s="44"/>
      <c r="B60" s="44"/>
      <c r="C60" s="44"/>
      <c r="D60" s="44"/>
      <c r="E60" s="44"/>
      <c r="F60" s="44"/>
      <c r="G60" s="44"/>
      <c r="H60" s="42"/>
      <c r="I60" s="44"/>
      <c r="J60" s="42"/>
      <c r="K60" s="42"/>
      <c r="L60" s="44"/>
      <c r="M60" s="51"/>
      <c r="N60" s="52"/>
      <c r="O60" s="52"/>
      <c r="P60" s="75">
        <v>45281</v>
      </c>
      <c r="Q60" s="58">
        <v>0.66</v>
      </c>
      <c r="R60" s="44"/>
      <c r="S60" s="75">
        <v>45281</v>
      </c>
      <c r="T60" s="58">
        <f t="shared" si="5"/>
        <v>0.66</v>
      </c>
      <c r="U60" s="78">
        <f t="shared" si="4"/>
        <v>0</v>
      </c>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t="98" hidden="1">
      <c r="A70" s="43">
        <v>4</v>
      </c>
      <c r="B70" s="43" t="str">
        <f t="shared" ref="B70:G70" si="6">B48</f>
        <v>四川蜀腾母线有限公司</v>
      </c>
      <c r="C70" s="43" t="str">
        <f t="shared" si="6"/>
        <v>都江堰市行政审批局</v>
      </c>
      <c r="D70" s="43" t="str">
        <f t="shared" si="6"/>
        <v>9151018139691334X6</v>
      </c>
      <c r="E70" s="43" t="str">
        <f t="shared" si="6"/>
        <v>有限责任公司</v>
      </c>
      <c r="F70" s="43" t="str">
        <f t="shared" si="6"/>
        <v>国家税务总局都江堰市税务局</v>
      </c>
      <c r="G70" s="43" t="str">
        <f t="shared" si="6"/>
        <v>4402224009100375563（中国工商银行都江堰支行营业室）</v>
      </c>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t="98" hidden="1">
      <c r="A92" s="43">
        <v>5</v>
      </c>
      <c r="B92" s="43" t="str">
        <f t="shared" ref="B92:G92" si="7">B70</f>
        <v>四川蜀腾母线有限公司</v>
      </c>
      <c r="C92" s="43" t="str">
        <f t="shared" si="7"/>
        <v>都江堰市行政审批局</v>
      </c>
      <c r="D92" s="43" t="str">
        <f t="shared" si="7"/>
        <v>9151018139691334X6</v>
      </c>
      <c r="E92" s="43" t="str">
        <f t="shared" si="7"/>
        <v>有限责任公司</v>
      </c>
      <c r="F92" s="43" t="str">
        <f t="shared" si="7"/>
        <v>国家税务总局都江堰市税务局</v>
      </c>
      <c r="G92" s="43" t="str">
        <f t="shared" si="7"/>
        <v>4402224009100375563（中国工商银行都江堰支行营业室）</v>
      </c>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500</v>
      </c>
      <c r="L114" s="43"/>
      <c r="M114" s="49"/>
      <c r="N114" s="50"/>
      <c r="O114" s="50"/>
      <c r="P114" s="76"/>
      <c r="Q114" s="43"/>
      <c r="R114" s="43">
        <f>R92+R70+R48+R26++R4</f>
        <v>4.76</v>
      </c>
      <c r="S114" s="43"/>
      <c r="T114" s="43"/>
      <c r="U114" s="43"/>
      <c r="V114" s="43"/>
      <c r="W114" s="43"/>
      <c r="X114" s="43"/>
      <c r="Y114" s="43">
        <f>Y92+Y70+Y48+Y26++Y4</f>
        <v>4.3499999999999996</v>
      </c>
      <c r="Z114" s="43"/>
      <c r="AA114" s="43"/>
      <c r="AB114" s="43"/>
    </row>
    <row r="115" spans="1:28">
      <c r="I115" s="36" t="s">
        <v>49</v>
      </c>
      <c r="K115" s="72">
        <f>IF(K114&gt;3000,K116,K114)</f>
        <v>500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D116"/>
  <sheetViews>
    <sheetView topLeftCell="M1" zoomScale="90" zoomScaleNormal="90" zoomScaleSheetLayoutView="8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成都上境酒店管理有限公司审计明细表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649</v>
      </c>
      <c r="C4" s="43" t="s">
        <v>922</v>
      </c>
      <c r="D4" s="43" t="s">
        <v>923</v>
      </c>
      <c r="E4" s="71" t="s">
        <v>146</v>
      </c>
      <c r="F4" s="43" t="s">
        <v>901</v>
      </c>
      <c r="G4" s="43" t="s">
        <v>924</v>
      </c>
      <c r="H4" s="71" t="s">
        <v>925</v>
      </c>
      <c r="I4" s="43" t="s">
        <v>926</v>
      </c>
      <c r="J4" s="71">
        <v>112</v>
      </c>
      <c r="K4" s="71">
        <v>1000</v>
      </c>
      <c r="L4" s="43" t="s">
        <v>927</v>
      </c>
      <c r="M4" s="49" t="s">
        <v>928</v>
      </c>
      <c r="N4" s="50">
        <v>44845</v>
      </c>
      <c r="O4" s="50">
        <v>45206</v>
      </c>
      <c r="P4" s="43">
        <f>P17-N4</f>
        <v>361</v>
      </c>
      <c r="Q4" s="55">
        <f>SUM(Q5:Q25)</f>
        <v>41.54</v>
      </c>
      <c r="R4" s="55">
        <v>15</v>
      </c>
      <c r="S4" s="43"/>
      <c r="T4" s="55">
        <f>SUM(T5:T25)</f>
        <v>41.6</v>
      </c>
      <c r="U4" s="56">
        <v>4.1500000000000002E-2</v>
      </c>
      <c r="V4" s="50"/>
      <c r="W4" s="43" t="s">
        <v>929</v>
      </c>
      <c r="X4" s="77">
        <v>1.4999999999999999E-2</v>
      </c>
      <c r="Y4" s="43">
        <f>ROUNDDOWN(IF((O4-N4+1)*K4*X4/365&gt;R4,R4,(O4-N4+1)*K4*X4/365),2)</f>
        <v>14.87</v>
      </c>
      <c r="Z4" s="55">
        <f>R4-Y4</f>
        <v>0.13</v>
      </c>
      <c r="AA4" s="55" t="s">
        <v>108</v>
      </c>
      <c r="AB4" s="43" t="s">
        <v>61</v>
      </c>
      <c r="AD4" s="61">
        <f>(O4-N4+1)*K4*X4/365</f>
        <v>14.8767</v>
      </c>
    </row>
    <row r="5" spans="1:30" s="35" customFormat="1">
      <c r="A5" s="44"/>
      <c r="B5" s="44"/>
      <c r="C5" s="44"/>
      <c r="D5" s="44"/>
      <c r="E5" s="42"/>
      <c r="F5" s="44"/>
      <c r="G5" s="44"/>
      <c r="H5" s="42"/>
      <c r="I5" s="44"/>
      <c r="J5" s="42"/>
      <c r="K5" s="42"/>
      <c r="L5" s="44"/>
      <c r="M5" s="51"/>
      <c r="N5" s="52"/>
      <c r="O5" s="52"/>
      <c r="P5" s="75">
        <v>44854</v>
      </c>
      <c r="Q5" s="58">
        <v>1.03</v>
      </c>
      <c r="R5" s="44"/>
      <c r="S5" s="75">
        <v>44854</v>
      </c>
      <c r="T5" s="58">
        <f>(S5-N4)/360*$U$4*$K$4</f>
        <v>1.04</v>
      </c>
      <c r="U5" s="58">
        <f>T5-Q5</f>
        <v>0.01</v>
      </c>
      <c r="V5" s="52">
        <v>45206</v>
      </c>
      <c r="W5" s="58">
        <v>1000</v>
      </c>
      <c r="X5" s="42"/>
      <c r="Y5" s="44">
        <f>ROUNDDOWN((V5-N4)*K4*X4/365,2)</f>
        <v>14.83</v>
      </c>
      <c r="Z5" s="44"/>
      <c r="AA5" s="44"/>
      <c r="AB5" s="44"/>
    </row>
    <row r="6" spans="1:30" s="35" customFormat="1">
      <c r="A6" s="44"/>
      <c r="B6" s="44"/>
      <c r="C6" s="44"/>
      <c r="D6" s="44"/>
      <c r="E6" s="42"/>
      <c r="F6" s="44"/>
      <c r="G6" s="44"/>
      <c r="H6" s="42"/>
      <c r="I6" s="44"/>
      <c r="J6" s="42"/>
      <c r="K6" s="42"/>
      <c r="L6" s="44"/>
      <c r="M6" s="51"/>
      <c r="N6" s="52"/>
      <c r="O6" s="52"/>
      <c r="P6" s="75">
        <v>44885</v>
      </c>
      <c r="Q6" s="58">
        <v>3.57</v>
      </c>
      <c r="R6" s="44"/>
      <c r="S6" s="75">
        <v>44885</v>
      </c>
      <c r="T6" s="58">
        <f>(S6-S5)*$K$4*$U$4/360</f>
        <v>3.57</v>
      </c>
      <c r="U6" s="78">
        <f>T6-Q6</f>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44915</v>
      </c>
      <c r="Q7" s="58">
        <v>3.45</v>
      </c>
      <c r="R7" s="44"/>
      <c r="S7" s="75">
        <v>44915</v>
      </c>
      <c r="T7" s="58">
        <f>(S7-S6)*$K$4*$U$4/360</f>
        <v>3.46</v>
      </c>
      <c r="U7" s="58">
        <f t="shared" ref="U7:U17" si="0">T7-Q7</f>
        <v>0.01</v>
      </c>
      <c r="V7" s="75"/>
      <c r="W7" s="58"/>
      <c r="X7" s="42"/>
      <c r="Y7" s="44"/>
      <c r="Z7" s="44"/>
      <c r="AA7" s="44"/>
      <c r="AB7" s="44"/>
    </row>
    <row r="8" spans="1:30" s="35" customFormat="1">
      <c r="A8" s="44"/>
      <c r="B8" s="44"/>
      <c r="C8" s="44"/>
      <c r="D8" s="44"/>
      <c r="E8" s="42"/>
      <c r="F8" s="44"/>
      <c r="G8" s="44"/>
      <c r="H8" s="42"/>
      <c r="I8" s="44"/>
      <c r="J8" s="42"/>
      <c r="K8" s="42"/>
      <c r="L8" s="44"/>
      <c r="M8" s="51"/>
      <c r="N8" s="52"/>
      <c r="O8" s="52"/>
      <c r="P8" s="75">
        <v>44946</v>
      </c>
      <c r="Q8" s="58">
        <v>3.57</v>
      </c>
      <c r="R8" s="44"/>
      <c r="S8" s="75">
        <v>44946</v>
      </c>
      <c r="T8" s="58">
        <f t="shared" ref="T8:T17" si="1">(S8-S7)*$K$4*$U$4/360</f>
        <v>3.57</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44977</v>
      </c>
      <c r="Q9" s="58">
        <v>3.57</v>
      </c>
      <c r="R9" s="44"/>
      <c r="S9" s="75">
        <v>44977</v>
      </c>
      <c r="T9" s="58">
        <f t="shared" si="1"/>
        <v>3.57</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45005</v>
      </c>
      <c r="Q10" s="58">
        <v>3.22</v>
      </c>
      <c r="R10" s="44"/>
      <c r="S10" s="75">
        <v>45005</v>
      </c>
      <c r="T10" s="58">
        <f t="shared" si="1"/>
        <v>3.23</v>
      </c>
      <c r="U10" s="58">
        <f t="shared" si="0"/>
        <v>0.01</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45036</v>
      </c>
      <c r="Q11" s="58">
        <v>3.57</v>
      </c>
      <c r="R11" s="44"/>
      <c r="S11" s="75">
        <v>45036</v>
      </c>
      <c r="T11" s="58">
        <f t="shared" si="1"/>
        <v>3.57</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45066</v>
      </c>
      <c r="Q12" s="58">
        <v>3.45</v>
      </c>
      <c r="R12" s="44"/>
      <c r="S12" s="75">
        <v>45066</v>
      </c>
      <c r="T12" s="58">
        <f t="shared" si="1"/>
        <v>3.46</v>
      </c>
      <c r="U12" s="58">
        <f t="shared" si="0"/>
        <v>0.01</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45097</v>
      </c>
      <c r="Q13" s="58">
        <v>3.57</v>
      </c>
      <c r="R13" s="44"/>
      <c r="S13" s="75">
        <v>45097</v>
      </c>
      <c r="T13" s="58">
        <f t="shared" si="1"/>
        <v>3.57</v>
      </c>
      <c r="U13" s="78">
        <f t="shared" si="0"/>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45127</v>
      </c>
      <c r="Q14" s="58">
        <v>3.45</v>
      </c>
      <c r="R14" s="44"/>
      <c r="S14" s="75">
        <v>45127</v>
      </c>
      <c r="T14" s="58">
        <f t="shared" si="1"/>
        <v>3.46</v>
      </c>
      <c r="U14" s="58">
        <f t="shared" si="0"/>
        <v>0.01</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45158</v>
      </c>
      <c r="Q15" s="58">
        <v>3.57</v>
      </c>
      <c r="R15" s="44"/>
      <c r="S15" s="75">
        <v>45158</v>
      </c>
      <c r="T15" s="58">
        <f t="shared" si="1"/>
        <v>3.57</v>
      </c>
      <c r="U15" s="78">
        <f t="shared" si="0"/>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45189</v>
      </c>
      <c r="Q16" s="58">
        <v>3.57</v>
      </c>
      <c r="R16" s="44"/>
      <c r="S16" s="75">
        <v>45189</v>
      </c>
      <c r="T16" s="58">
        <f t="shared" si="1"/>
        <v>3.57</v>
      </c>
      <c r="U16" s="78">
        <f t="shared" si="0"/>
        <v>0</v>
      </c>
      <c r="V16" s="44"/>
      <c r="W16" s="44"/>
      <c r="X16" s="42"/>
      <c r="Y16" s="44"/>
      <c r="Z16" s="44"/>
      <c r="AA16" s="44"/>
      <c r="AB16" s="44"/>
    </row>
    <row r="17" spans="1:28" s="35" customFormat="1">
      <c r="A17" s="44"/>
      <c r="B17" s="44"/>
      <c r="C17" s="44"/>
      <c r="D17" s="44"/>
      <c r="E17" s="42"/>
      <c r="F17" s="44"/>
      <c r="G17" s="44"/>
      <c r="H17" s="42"/>
      <c r="I17" s="44"/>
      <c r="J17" s="42"/>
      <c r="K17" s="42"/>
      <c r="L17" s="44"/>
      <c r="M17" s="51"/>
      <c r="N17" s="52"/>
      <c r="O17" s="52"/>
      <c r="P17" s="75">
        <v>45206</v>
      </c>
      <c r="Q17" s="110">
        <v>1.95</v>
      </c>
      <c r="R17" s="44"/>
      <c r="S17" s="75">
        <v>45206</v>
      </c>
      <c r="T17" s="110">
        <f t="shared" si="1"/>
        <v>1.96</v>
      </c>
      <c r="U17" s="110">
        <f t="shared" si="0"/>
        <v>0.01</v>
      </c>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 t="shared" ref="U27:U31" si="2">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 t="shared" ref="T28:T31" si="3">(S28-S27)*$U$26*$K$26/360</f>
        <v>0</v>
      </c>
      <c r="U28" s="58">
        <f t="shared" si="2"/>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 t="shared" si="3"/>
        <v>0</v>
      </c>
      <c r="U29" s="58">
        <f t="shared" si="2"/>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 t="shared" si="3"/>
        <v>0</v>
      </c>
      <c r="U30" s="58">
        <f t="shared" si="2"/>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 t="shared" si="3"/>
        <v>0</v>
      </c>
      <c r="U31" s="58">
        <f t="shared" si="2"/>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4">B26</f>
        <v>0</v>
      </c>
      <c r="C48" s="43">
        <f t="shared" si="4"/>
        <v>0</v>
      </c>
      <c r="D48" s="43">
        <f t="shared" si="4"/>
        <v>0</v>
      </c>
      <c r="E48" s="71">
        <f t="shared" si="4"/>
        <v>0</v>
      </c>
      <c r="F48" s="43">
        <f t="shared" si="4"/>
        <v>0</v>
      </c>
      <c r="G48" s="43">
        <f t="shared" si="4"/>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5">B48</f>
        <v>0</v>
      </c>
      <c r="C70" s="43">
        <f t="shared" si="5"/>
        <v>0</v>
      </c>
      <c r="D70" s="43">
        <f t="shared" si="5"/>
        <v>0</v>
      </c>
      <c r="E70" s="71">
        <f t="shared" si="5"/>
        <v>0</v>
      </c>
      <c r="F70" s="43">
        <f t="shared" si="5"/>
        <v>0</v>
      </c>
      <c r="G70" s="43">
        <f t="shared" si="5"/>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6">B70</f>
        <v>0</v>
      </c>
      <c r="C92" s="43">
        <f t="shared" si="6"/>
        <v>0</v>
      </c>
      <c r="D92" s="43">
        <f t="shared" si="6"/>
        <v>0</v>
      </c>
      <c r="E92" s="71">
        <f t="shared" si="6"/>
        <v>0</v>
      </c>
      <c r="F92" s="43">
        <f t="shared" si="6"/>
        <v>0</v>
      </c>
      <c r="G92" s="43">
        <f t="shared" si="6"/>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1000</v>
      </c>
      <c r="L114" s="43"/>
      <c r="M114" s="49"/>
      <c r="N114" s="50"/>
      <c r="O114" s="50"/>
      <c r="P114" s="76"/>
      <c r="Q114" s="43"/>
      <c r="R114" s="43">
        <f>R92+R70+R48+R26++R4</f>
        <v>15</v>
      </c>
      <c r="S114" s="43"/>
      <c r="T114" s="43"/>
      <c r="U114" s="43"/>
      <c r="V114" s="43"/>
      <c r="W114" s="43"/>
      <c r="X114" s="71"/>
      <c r="Y114" s="43">
        <f>Y92+Y70+Y48+Y26++Y4</f>
        <v>14.87</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pageSetup paperSize="9" orientation="portrait"/>
  <legacy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D116"/>
  <sheetViews>
    <sheetView topLeftCell="K1" zoomScale="80" zoomScaleNormal="8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四川申力门业有限责任公司审计明细表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26" customHeight="1">
      <c r="A4" s="43">
        <v>1</v>
      </c>
      <c r="B4" s="43" t="s">
        <v>719</v>
      </c>
      <c r="C4" s="43" t="s">
        <v>907</v>
      </c>
      <c r="D4" s="43" t="s">
        <v>930</v>
      </c>
      <c r="E4" s="71" t="s">
        <v>121</v>
      </c>
      <c r="F4" s="43" t="s">
        <v>901</v>
      </c>
      <c r="G4" s="43" t="s">
        <v>931</v>
      </c>
      <c r="H4" s="71" t="s">
        <v>37</v>
      </c>
      <c r="I4" s="43" t="s">
        <v>932</v>
      </c>
      <c r="J4" s="71" t="s">
        <v>933</v>
      </c>
      <c r="K4" s="71">
        <v>190</v>
      </c>
      <c r="L4" s="43" t="s">
        <v>934</v>
      </c>
      <c r="M4" s="49" t="s">
        <v>935</v>
      </c>
      <c r="N4" s="50">
        <v>44904</v>
      </c>
      <c r="O4" s="50">
        <v>45000</v>
      </c>
      <c r="P4" s="43">
        <f>P8-N4</f>
        <v>96</v>
      </c>
      <c r="Q4" s="55">
        <f>SUM(Q5:Q25)</f>
        <v>1.89</v>
      </c>
      <c r="R4" s="55">
        <v>0.51</v>
      </c>
      <c r="S4" s="43"/>
      <c r="T4" s="55">
        <f>SUM(T5:T25)</f>
        <v>1.89</v>
      </c>
      <c r="U4" s="56">
        <v>3.7199999999999997E-2</v>
      </c>
      <c r="V4" s="50"/>
      <c r="W4" s="43" t="s">
        <v>42</v>
      </c>
      <c r="X4" s="77">
        <v>0.01</v>
      </c>
      <c r="Y4" s="43">
        <f>ROUNDDOWN(IF((O4-N4+1)*K4*X4/365&gt;R4,R4,(O4-N4+1)*K4*X4/365),2)</f>
        <v>0.5</v>
      </c>
      <c r="Z4" s="55">
        <f>R4-Y4</f>
        <v>0.01</v>
      </c>
      <c r="AA4" s="55" t="s">
        <v>43</v>
      </c>
      <c r="AB4" s="43" t="s">
        <v>61</v>
      </c>
      <c r="AD4" s="61">
        <f>(O4-N4+1)*K4*X4/365</f>
        <v>0.50490000000000002</v>
      </c>
    </row>
    <row r="5" spans="1:30" s="35" customFormat="1">
      <c r="A5" s="44"/>
      <c r="B5" s="44"/>
      <c r="C5" s="44"/>
      <c r="D5" s="44"/>
      <c r="E5" s="42"/>
      <c r="F5" s="44"/>
      <c r="G5" s="44"/>
      <c r="H5" s="42"/>
      <c r="I5" s="44"/>
      <c r="J5" s="42"/>
      <c r="K5" s="42"/>
      <c r="L5" s="44"/>
      <c r="M5" s="51"/>
      <c r="N5" s="52"/>
      <c r="O5" s="52"/>
      <c r="P5" s="75">
        <v>44916</v>
      </c>
      <c r="Q5" s="58">
        <v>0.24</v>
      </c>
      <c r="R5" s="44"/>
      <c r="S5" s="75">
        <v>44916</v>
      </c>
      <c r="T5" s="58">
        <f>(S5-N4)/360*$U$4*$K$4</f>
        <v>0.24</v>
      </c>
      <c r="U5" s="78">
        <f>T5-Q5</f>
        <v>0</v>
      </c>
      <c r="V5" s="52"/>
      <c r="W5" s="58"/>
      <c r="X5" s="42"/>
      <c r="Y5" s="44">
        <f>ROUNDDOWN((V5-N4)*K4*X4/365,2)</f>
        <v>-233.74</v>
      </c>
      <c r="Z5" s="44"/>
      <c r="AA5" s="44"/>
      <c r="AB5" s="44"/>
    </row>
    <row r="6" spans="1:30" s="35" customFormat="1">
      <c r="A6" s="44"/>
      <c r="B6" s="44"/>
      <c r="C6" s="44"/>
      <c r="D6" s="44"/>
      <c r="E6" s="42"/>
      <c r="F6" s="44"/>
      <c r="G6" s="44"/>
      <c r="H6" s="42"/>
      <c r="I6" s="44"/>
      <c r="J6" s="42"/>
      <c r="K6" s="42"/>
      <c r="L6" s="44"/>
      <c r="M6" s="51"/>
      <c r="N6" s="52"/>
      <c r="O6" s="52"/>
      <c r="P6" s="75">
        <v>44947</v>
      </c>
      <c r="Q6" s="58">
        <v>0.61</v>
      </c>
      <c r="R6" s="44"/>
      <c r="S6" s="75">
        <v>44947</v>
      </c>
      <c r="T6" s="58">
        <f>(S6-S5)*$K$4*$U$4/360</f>
        <v>0.61</v>
      </c>
      <c r="U6" s="78">
        <f>T6-Q6</f>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44978</v>
      </c>
      <c r="Q7" s="58">
        <v>0.61</v>
      </c>
      <c r="R7" s="44"/>
      <c r="S7" s="75">
        <v>44978</v>
      </c>
      <c r="T7" s="58">
        <f>(S7-S6)*$K$4*$U$4/360</f>
        <v>0.61</v>
      </c>
      <c r="U7" s="78">
        <f>T7-Q7</f>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45000</v>
      </c>
      <c r="Q8" s="58">
        <v>0.43</v>
      </c>
      <c r="R8" s="44"/>
      <c r="S8" s="75">
        <v>45000</v>
      </c>
      <c r="T8" s="58">
        <f>(S8-S7)*$K$4*$U$4/360</f>
        <v>0.43</v>
      </c>
      <c r="U8" s="78">
        <f>T8-Q8</f>
        <v>0</v>
      </c>
      <c r="V8" s="75"/>
      <c r="W8" s="58"/>
      <c r="X8" s="42"/>
      <c r="Y8" s="44"/>
      <c r="Z8" s="44"/>
      <c r="AA8" s="44"/>
      <c r="AB8" s="44"/>
    </row>
    <row r="9" spans="1:30" s="35" customFormat="1" hidden="1">
      <c r="A9" s="44"/>
      <c r="B9" s="44"/>
      <c r="C9" s="44"/>
      <c r="D9" s="44"/>
      <c r="E9" s="42"/>
      <c r="F9" s="44"/>
      <c r="G9" s="44"/>
      <c r="H9" s="42"/>
      <c r="I9" s="44"/>
      <c r="J9" s="42"/>
      <c r="K9" s="42"/>
      <c r="L9" s="44"/>
      <c r="M9" s="51"/>
      <c r="N9" s="52"/>
      <c r="O9" s="52"/>
      <c r="P9" s="75"/>
      <c r="Q9" s="58"/>
      <c r="R9" s="44"/>
      <c r="S9" s="75"/>
      <c r="T9" s="58"/>
      <c r="U9" s="78"/>
      <c r="V9" s="75"/>
      <c r="W9" s="58"/>
      <c r="X9" s="42"/>
      <c r="Y9" s="44"/>
      <c r="Z9" s="44"/>
      <c r="AA9" s="44"/>
      <c r="AB9" s="44"/>
    </row>
    <row r="10" spans="1:30" s="35" customFormat="1" hidden="1">
      <c r="A10" s="44"/>
      <c r="B10" s="44"/>
      <c r="C10" s="44"/>
      <c r="D10" s="44"/>
      <c r="E10" s="42"/>
      <c r="F10" s="44"/>
      <c r="G10" s="44"/>
      <c r="H10" s="42"/>
      <c r="I10" s="44"/>
      <c r="J10" s="42"/>
      <c r="K10" s="42"/>
      <c r="L10" s="44"/>
      <c r="M10" s="51"/>
      <c r="N10" s="52"/>
      <c r="O10" s="52"/>
      <c r="P10" s="75"/>
      <c r="Q10" s="58"/>
      <c r="R10" s="44"/>
      <c r="S10" s="75"/>
      <c r="T10" s="58"/>
      <c r="U10" s="78"/>
      <c r="V10" s="75"/>
      <c r="W10" s="58"/>
      <c r="X10" s="42"/>
      <c r="Y10" s="44"/>
      <c r="Z10" s="44"/>
      <c r="AA10" s="44"/>
      <c r="AB10" s="44"/>
    </row>
    <row r="11" spans="1:30" s="35" customFormat="1" hidden="1">
      <c r="A11" s="44"/>
      <c r="B11" s="44"/>
      <c r="C11" s="44"/>
      <c r="D11" s="44"/>
      <c r="E11" s="42"/>
      <c r="F11" s="44"/>
      <c r="G11" s="44"/>
      <c r="H11" s="42"/>
      <c r="I11" s="44"/>
      <c r="J11" s="42"/>
      <c r="K11" s="42"/>
      <c r="L11" s="44"/>
      <c r="M11" s="51"/>
      <c r="N11" s="52"/>
      <c r="O11" s="52"/>
      <c r="P11" s="75"/>
      <c r="Q11" s="58"/>
      <c r="R11" s="44"/>
      <c r="S11" s="75"/>
      <c r="T11" s="58"/>
      <c r="U11" s="78"/>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75"/>
      <c r="T12" s="58"/>
      <c r="U12" s="7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75"/>
      <c r="T13" s="58"/>
      <c r="U13" s="7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5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 t="shared" ref="U27:U31" si="0">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 t="shared" ref="T28:T31" si="1">(S28-S27)*$U$26*$K$26/360</f>
        <v>0</v>
      </c>
      <c r="U28" s="58">
        <f t="shared" si="0"/>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 t="shared" si="1"/>
        <v>0</v>
      </c>
      <c r="U29" s="58">
        <f t="shared" si="0"/>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 t="shared" si="1"/>
        <v>0</v>
      </c>
      <c r="U30" s="58">
        <f t="shared" si="0"/>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 t="shared" si="1"/>
        <v>0</v>
      </c>
      <c r="U31" s="58">
        <f t="shared" si="0"/>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2">B26</f>
        <v>0</v>
      </c>
      <c r="C48" s="43">
        <f t="shared" si="2"/>
        <v>0</v>
      </c>
      <c r="D48" s="43">
        <f t="shared" si="2"/>
        <v>0</v>
      </c>
      <c r="E48" s="71">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3">B48</f>
        <v>0</v>
      </c>
      <c r="C70" s="43">
        <f t="shared" si="3"/>
        <v>0</v>
      </c>
      <c r="D70" s="43">
        <f t="shared" si="3"/>
        <v>0</v>
      </c>
      <c r="E70" s="71">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4">B70</f>
        <v>0</v>
      </c>
      <c r="C92" s="43">
        <f t="shared" si="4"/>
        <v>0</v>
      </c>
      <c r="D92" s="43">
        <f t="shared" si="4"/>
        <v>0</v>
      </c>
      <c r="E92" s="71">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190</v>
      </c>
      <c r="L114" s="43"/>
      <c r="M114" s="49"/>
      <c r="N114" s="50"/>
      <c r="O114" s="50"/>
      <c r="P114" s="76"/>
      <c r="Q114" s="43"/>
      <c r="R114" s="43">
        <f>R92+R70+R48+R26++R4</f>
        <v>0.51</v>
      </c>
      <c r="S114" s="43"/>
      <c r="T114" s="43"/>
      <c r="U114" s="43"/>
      <c r="V114" s="43"/>
      <c r="W114" s="43"/>
      <c r="X114" s="71"/>
      <c r="Y114" s="43">
        <f>Y92+Y70+Y48+Y26++Y4</f>
        <v>0.5</v>
      </c>
      <c r="Z114" s="43"/>
      <c r="AA114" s="43"/>
      <c r="AB114" s="43"/>
    </row>
    <row r="115" spans="1:28">
      <c r="I115" s="36" t="s">
        <v>49</v>
      </c>
      <c r="K115" s="72">
        <f>IF(K114&gt;3000,K116,K114)</f>
        <v>190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16"/>
  <sheetViews>
    <sheetView topLeftCell="G1" zoomScale="70" zoomScaleNormal="70" workbookViewId="0">
      <pane ySplit="3" topLeftCell="A8" activePane="bottomLeft" state="frozen"/>
      <selection pane="bottomLeft" activeCell="N48" sqref="N48:AB48"/>
    </sheetView>
  </sheetViews>
  <sheetFormatPr defaultColWidth="9" defaultRowHeight="14"/>
  <cols>
    <col min="7" max="7" width="9" customWidth="1"/>
    <col min="13" max="13" width="9" style="3"/>
    <col min="14" max="15" width="10.75" style="4" customWidth="1"/>
    <col min="16" max="16" width="9.83203125" customWidth="1"/>
    <col min="19" max="19" width="9.83203125" customWidth="1"/>
    <col min="22" max="22" width="11.5" customWidth="1"/>
    <col min="25" max="25" width="11.75" customWidth="1"/>
    <col min="29" max="29" width="9" hidden="1" customWidth="1"/>
    <col min="30" max="30" width="11.75" customWidth="1"/>
  </cols>
  <sheetData>
    <row r="1" spans="1:30" ht="25">
      <c r="B1" s="154" t="str">
        <f>B4&amp;AC1</f>
        <v>四川赛狄信息技术股份公司审计明细表</v>
      </c>
      <c r="C1" s="154"/>
      <c r="D1" s="154"/>
      <c r="E1" s="154"/>
      <c r="F1" s="154"/>
      <c r="G1" s="154"/>
      <c r="H1" s="154"/>
      <c r="I1" s="154"/>
      <c r="J1" s="154"/>
      <c r="K1" s="154"/>
      <c r="L1" s="154"/>
      <c r="M1" s="154"/>
      <c r="N1" s="154"/>
      <c r="O1" s="154"/>
      <c r="P1" s="154"/>
      <c r="Q1" s="154"/>
      <c r="R1" s="154"/>
      <c r="S1" s="154"/>
      <c r="T1" s="154"/>
      <c r="U1" s="154"/>
      <c r="V1" s="154"/>
      <c r="W1" s="5"/>
      <c r="X1" s="5"/>
      <c r="AC1" t="s">
        <v>0</v>
      </c>
    </row>
    <row r="2" spans="1:30" ht="14.5" customHeight="1">
      <c r="A2" s="157" t="s">
        <v>1</v>
      </c>
      <c r="B2" s="158" t="s">
        <v>2</v>
      </c>
      <c r="C2" s="156" t="s">
        <v>3</v>
      </c>
      <c r="D2" s="156" t="s">
        <v>4</v>
      </c>
      <c r="E2" s="160" t="s">
        <v>5</v>
      </c>
      <c r="F2" s="160" t="s">
        <v>6</v>
      </c>
      <c r="G2" s="162" t="s">
        <v>7</v>
      </c>
      <c r="H2" s="160" t="s">
        <v>8</v>
      </c>
      <c r="I2" s="155" t="s">
        <v>9</v>
      </c>
      <c r="J2" s="155"/>
      <c r="K2" s="155"/>
      <c r="L2" s="155"/>
      <c r="M2" s="155"/>
      <c r="N2" s="155"/>
      <c r="O2" s="155"/>
      <c r="P2" s="155"/>
      <c r="Q2" s="155"/>
      <c r="R2" s="155"/>
      <c r="S2" s="156" t="s">
        <v>10</v>
      </c>
      <c r="T2" s="156"/>
      <c r="U2" s="156"/>
      <c r="V2" s="156"/>
      <c r="W2" s="156"/>
      <c r="X2" s="156"/>
      <c r="Y2" s="156"/>
      <c r="Z2" s="7"/>
      <c r="AA2" s="7"/>
      <c r="AB2" s="156" t="s">
        <v>11</v>
      </c>
    </row>
    <row r="3" spans="1:30" ht="42">
      <c r="A3" s="158"/>
      <c r="B3" s="158"/>
      <c r="C3" s="159"/>
      <c r="D3" s="159"/>
      <c r="E3" s="161"/>
      <c r="F3" s="161"/>
      <c r="G3" s="159"/>
      <c r="H3" s="161"/>
      <c r="I3" s="11" t="s">
        <v>12</v>
      </c>
      <c r="J3" s="6" t="s">
        <v>13</v>
      </c>
      <c r="K3" s="7" t="s">
        <v>14</v>
      </c>
      <c r="L3" s="8" t="s">
        <v>15</v>
      </c>
      <c r="M3" s="12" t="s">
        <v>16</v>
      </c>
      <c r="N3" s="13" t="s">
        <v>17</v>
      </c>
      <c r="O3" s="13" t="s">
        <v>18</v>
      </c>
      <c r="P3" s="14" t="s">
        <v>19</v>
      </c>
      <c r="Q3" s="14" t="s">
        <v>20</v>
      </c>
      <c r="R3" s="7" t="s">
        <v>21</v>
      </c>
      <c r="S3" s="7" t="s">
        <v>22</v>
      </c>
      <c r="T3" s="21" t="s">
        <v>23</v>
      </c>
      <c r="U3" s="7" t="s">
        <v>24</v>
      </c>
      <c r="V3" s="7" t="s">
        <v>25</v>
      </c>
      <c r="W3" s="7" t="s">
        <v>26</v>
      </c>
      <c r="X3" s="7" t="s">
        <v>27</v>
      </c>
      <c r="Y3" s="26" t="s">
        <v>28</v>
      </c>
      <c r="Z3" s="7" t="s">
        <v>29</v>
      </c>
      <c r="AA3" s="7" t="s">
        <v>30</v>
      </c>
      <c r="AB3" s="156"/>
      <c r="AC3" s="27"/>
    </row>
    <row r="4" spans="1:30" s="1" customFormat="1" ht="70">
      <c r="A4" s="9">
        <v>1</v>
      </c>
      <c r="B4" s="9" t="s">
        <v>127</v>
      </c>
      <c r="C4" s="9" t="s">
        <v>52</v>
      </c>
      <c r="D4" s="9" t="s">
        <v>128</v>
      </c>
      <c r="E4" s="9" t="s">
        <v>54</v>
      </c>
      <c r="F4" s="9" t="s">
        <v>69</v>
      </c>
      <c r="G4" s="9" t="s">
        <v>129</v>
      </c>
      <c r="H4" s="9" t="s">
        <v>130</v>
      </c>
      <c r="I4" s="9" t="s">
        <v>131</v>
      </c>
      <c r="J4" s="9" t="s">
        <v>39</v>
      </c>
      <c r="K4" s="9">
        <v>499</v>
      </c>
      <c r="L4" s="9" t="s">
        <v>132</v>
      </c>
      <c r="M4" s="20" t="s">
        <v>133</v>
      </c>
      <c r="N4" s="16">
        <v>44855</v>
      </c>
      <c r="O4" s="16">
        <v>45219</v>
      </c>
      <c r="P4" s="9">
        <f>P9-N4</f>
        <v>364</v>
      </c>
      <c r="Q4" s="22">
        <f>SUM(Q5:Q25)</f>
        <v>21.44</v>
      </c>
      <c r="R4" s="22">
        <v>7.4850000000000003</v>
      </c>
      <c r="S4" s="9"/>
      <c r="T4" s="22">
        <f>SUM(T5:T25)</f>
        <v>21.44</v>
      </c>
      <c r="U4" s="23">
        <v>4.2500000000000003E-2</v>
      </c>
      <c r="V4" s="16"/>
      <c r="W4" s="9" t="s">
        <v>42</v>
      </c>
      <c r="X4" s="24">
        <v>1.4999999999999999E-2</v>
      </c>
      <c r="Y4" s="9">
        <f>ROUNDDOWN(IF((O4-N4+1)*K4*X4/365&gt;R4,R4,(O4-N4+1)*K4*X4/365),2)</f>
        <v>7.48</v>
      </c>
      <c r="Z4" s="22">
        <f>R4-Y4</f>
        <v>0</v>
      </c>
      <c r="AA4" s="22"/>
      <c r="AB4" s="9" t="s">
        <v>61</v>
      </c>
      <c r="AD4" s="28">
        <f>(O4-N4+1)*K4*X4/365</f>
        <v>7.4850000000000003</v>
      </c>
    </row>
    <row r="5" spans="1:30" s="2" customFormat="1">
      <c r="A5" s="10"/>
      <c r="B5" s="10"/>
      <c r="C5" s="10"/>
      <c r="D5" s="10"/>
      <c r="E5" s="10"/>
      <c r="F5" s="10"/>
      <c r="G5" s="10"/>
      <c r="H5" s="10"/>
      <c r="I5" s="10"/>
      <c r="J5" s="10"/>
      <c r="K5" s="10"/>
      <c r="L5" s="10"/>
      <c r="M5" s="17"/>
      <c r="N5" s="18"/>
      <c r="O5" s="18"/>
      <c r="P5" s="19">
        <v>44916</v>
      </c>
      <c r="Q5" s="25">
        <v>3.59</v>
      </c>
      <c r="R5" s="10"/>
      <c r="S5" s="19">
        <f>P5</f>
        <v>44916</v>
      </c>
      <c r="T5" s="25">
        <f>(S5-N4)/360*$U$4*$K$4</f>
        <v>3.59</v>
      </c>
      <c r="U5" s="25">
        <f>T5-Q5</f>
        <v>0</v>
      </c>
      <c r="V5" s="18"/>
      <c r="W5" s="10"/>
      <c r="X5" s="10"/>
      <c r="Y5" s="10">
        <f>ROUNDDOWN((V5-N4)*K4*X4/365,2)</f>
        <v>-919.83</v>
      </c>
      <c r="Z5" s="10"/>
      <c r="AA5" s="10"/>
      <c r="AB5" s="10"/>
    </row>
    <row r="6" spans="1:30" s="2" customFormat="1">
      <c r="A6" s="10"/>
      <c r="B6" s="10"/>
      <c r="C6" s="10"/>
      <c r="D6" s="10"/>
      <c r="E6" s="10"/>
      <c r="F6" s="10"/>
      <c r="G6" s="10"/>
      <c r="H6" s="10"/>
      <c r="I6" s="10"/>
      <c r="J6" s="10"/>
      <c r="K6" s="10"/>
      <c r="L6" s="10"/>
      <c r="M6" s="17"/>
      <c r="N6" s="18"/>
      <c r="O6" s="18"/>
      <c r="P6" s="19">
        <v>45006</v>
      </c>
      <c r="Q6" s="25">
        <v>5.3</v>
      </c>
      <c r="R6" s="10"/>
      <c r="S6" s="19">
        <f t="shared" ref="S6:S9" si="0">P6</f>
        <v>45006</v>
      </c>
      <c r="T6" s="25">
        <f>(S6-S5)*$K$4*$U$4/360</f>
        <v>5.3</v>
      </c>
      <c r="U6" s="25">
        <f>T6-Q6</f>
        <v>0</v>
      </c>
      <c r="V6" s="10"/>
      <c r="W6" s="10"/>
      <c r="X6" s="10"/>
      <c r="Y6" s="10"/>
      <c r="Z6" s="10"/>
      <c r="AA6" s="10"/>
      <c r="AB6" s="10"/>
    </row>
    <row r="7" spans="1:30" s="2" customFormat="1">
      <c r="A7" s="10"/>
      <c r="B7" s="10"/>
      <c r="C7" s="10"/>
      <c r="D7" s="10"/>
      <c r="E7" s="10"/>
      <c r="F7" s="10"/>
      <c r="G7" s="10"/>
      <c r="H7" s="10"/>
      <c r="I7" s="10"/>
      <c r="J7" s="10"/>
      <c r="K7" s="10"/>
      <c r="L7" s="10"/>
      <c r="M7" s="17"/>
      <c r="N7" s="18"/>
      <c r="O7" s="18"/>
      <c r="P7" s="19">
        <v>45098</v>
      </c>
      <c r="Q7" s="25">
        <v>5.42</v>
      </c>
      <c r="R7" s="10"/>
      <c r="S7" s="19">
        <f t="shared" si="0"/>
        <v>45098</v>
      </c>
      <c r="T7" s="25">
        <f t="shared" ref="T7:T9" si="1">(S7-S6)*$K$4*$U$4/360</f>
        <v>5.42</v>
      </c>
      <c r="U7" s="25">
        <f t="shared" ref="U7:U9" si="2">T7-Q7</f>
        <v>0</v>
      </c>
      <c r="V7" s="10"/>
      <c r="W7" s="10"/>
      <c r="X7" s="10"/>
      <c r="Y7" s="10"/>
      <c r="Z7" s="10"/>
      <c r="AA7" s="10"/>
      <c r="AB7" s="10"/>
    </row>
    <row r="8" spans="1:30" s="2" customFormat="1">
      <c r="A8" s="10"/>
      <c r="B8" s="10"/>
      <c r="C8" s="10"/>
      <c r="D8" s="10"/>
      <c r="E8" s="10"/>
      <c r="F8" s="10"/>
      <c r="G8" s="10"/>
      <c r="H8" s="10"/>
      <c r="I8" s="10"/>
      <c r="J8" s="10"/>
      <c r="K8" s="10"/>
      <c r="L8" s="10"/>
      <c r="M8" s="17"/>
      <c r="N8" s="18"/>
      <c r="O8" s="18"/>
      <c r="P8" s="19">
        <v>45190</v>
      </c>
      <c r="Q8" s="25">
        <v>5.42</v>
      </c>
      <c r="R8" s="10"/>
      <c r="S8" s="19">
        <f t="shared" si="0"/>
        <v>45190</v>
      </c>
      <c r="T8" s="25">
        <f t="shared" si="1"/>
        <v>5.42</v>
      </c>
      <c r="U8" s="25">
        <f t="shared" si="2"/>
        <v>0</v>
      </c>
      <c r="V8" s="10"/>
      <c r="W8" s="10"/>
      <c r="X8" s="10"/>
      <c r="Y8" s="10"/>
      <c r="Z8" s="10"/>
      <c r="AA8" s="10"/>
      <c r="AB8" s="10"/>
    </row>
    <row r="9" spans="1:30" s="2" customFormat="1">
      <c r="A9" s="10"/>
      <c r="B9" s="10"/>
      <c r="C9" s="10"/>
      <c r="D9" s="10"/>
      <c r="E9" s="10"/>
      <c r="F9" s="10"/>
      <c r="G9" s="10"/>
      <c r="H9" s="10"/>
      <c r="I9" s="10"/>
      <c r="J9" s="10"/>
      <c r="K9" s="10"/>
      <c r="L9" s="10"/>
      <c r="M9" s="17"/>
      <c r="N9" s="18"/>
      <c r="O9" s="18"/>
      <c r="P9" s="19">
        <v>45219</v>
      </c>
      <c r="Q9" s="25">
        <v>1.71</v>
      </c>
      <c r="R9" s="10"/>
      <c r="S9" s="19">
        <f t="shared" si="0"/>
        <v>45219</v>
      </c>
      <c r="T9" s="25">
        <f t="shared" si="1"/>
        <v>1.71</v>
      </c>
      <c r="U9" s="25">
        <f t="shared" si="2"/>
        <v>0</v>
      </c>
      <c r="V9" s="10"/>
      <c r="W9" s="10"/>
      <c r="X9" s="10"/>
      <c r="Y9" s="10"/>
      <c r="Z9" s="10"/>
      <c r="AA9" s="10"/>
      <c r="AB9" s="10"/>
    </row>
    <row r="10" spans="1:30" s="2" customFormat="1" hidden="1">
      <c r="A10" s="10"/>
      <c r="B10" s="10"/>
      <c r="C10" s="10"/>
      <c r="D10" s="10"/>
      <c r="E10" s="10"/>
      <c r="F10" s="10"/>
      <c r="G10" s="10"/>
      <c r="H10" s="10"/>
      <c r="I10" s="10"/>
      <c r="J10" s="10"/>
      <c r="K10" s="10"/>
      <c r="L10" s="10"/>
      <c r="M10" s="17"/>
      <c r="N10" s="18"/>
      <c r="O10" s="18"/>
      <c r="P10" s="19"/>
      <c r="Q10" s="25"/>
      <c r="R10" s="10"/>
      <c r="S10" s="19"/>
      <c r="T10" s="25"/>
      <c r="U10" s="25"/>
      <c r="V10" s="10"/>
      <c r="W10" s="10"/>
      <c r="X10" s="10"/>
      <c r="Y10" s="10"/>
      <c r="Z10" s="10"/>
      <c r="AA10" s="10"/>
      <c r="AB10" s="10"/>
    </row>
    <row r="11" spans="1:30" s="2" customFormat="1" hidden="1">
      <c r="A11" s="10"/>
      <c r="B11" s="10"/>
      <c r="C11" s="10"/>
      <c r="D11" s="10"/>
      <c r="E11" s="10"/>
      <c r="F11" s="10"/>
      <c r="G11" s="10"/>
      <c r="H11" s="10"/>
      <c r="I11" s="10"/>
      <c r="J11" s="10"/>
      <c r="K11" s="10"/>
      <c r="L11" s="10"/>
      <c r="M11" s="17"/>
      <c r="N11" s="18"/>
      <c r="O11" s="18"/>
      <c r="P11" s="19"/>
      <c r="Q11" s="25"/>
      <c r="R11" s="10"/>
      <c r="S11" s="19"/>
      <c r="T11" s="25"/>
      <c r="U11" s="25"/>
      <c r="V11" s="10"/>
      <c r="W11" s="10"/>
      <c r="X11" s="10"/>
      <c r="Y11" s="10"/>
      <c r="Z11" s="10"/>
      <c r="AA11" s="10"/>
      <c r="AB11" s="10"/>
    </row>
    <row r="12" spans="1:30" s="2" customFormat="1" hidden="1">
      <c r="A12" s="10"/>
      <c r="B12" s="10"/>
      <c r="C12" s="10"/>
      <c r="D12" s="10"/>
      <c r="E12" s="10"/>
      <c r="F12" s="10"/>
      <c r="G12" s="10"/>
      <c r="H12" s="10"/>
      <c r="I12" s="10"/>
      <c r="J12" s="10"/>
      <c r="K12" s="10"/>
      <c r="L12" s="10"/>
      <c r="M12" s="17"/>
      <c r="N12" s="18"/>
      <c r="O12" s="18"/>
      <c r="P12" s="19"/>
      <c r="Q12" s="25"/>
      <c r="R12" s="10"/>
      <c r="S12" s="19"/>
      <c r="T12" s="25"/>
      <c r="U12" s="25"/>
      <c r="V12" s="10"/>
      <c r="W12" s="10"/>
      <c r="X12" s="10"/>
      <c r="Y12" s="10"/>
      <c r="Z12" s="10"/>
      <c r="AA12" s="10"/>
      <c r="AB12" s="10"/>
    </row>
    <row r="13" spans="1:30" s="2" customFormat="1" hidden="1">
      <c r="A13" s="10"/>
      <c r="B13" s="10"/>
      <c r="C13" s="10"/>
      <c r="D13" s="10"/>
      <c r="E13" s="10"/>
      <c r="F13" s="10"/>
      <c r="G13" s="10"/>
      <c r="H13" s="10"/>
      <c r="I13" s="10"/>
      <c r="J13" s="10"/>
      <c r="K13" s="10"/>
      <c r="L13" s="10"/>
      <c r="M13" s="17"/>
      <c r="N13" s="18"/>
      <c r="O13" s="18"/>
      <c r="P13" s="19"/>
      <c r="Q13" s="25"/>
      <c r="R13" s="10"/>
      <c r="S13" s="19"/>
      <c r="T13" s="25"/>
      <c r="U13" s="25"/>
      <c r="V13" s="10"/>
      <c r="W13" s="10"/>
      <c r="X13" s="10"/>
      <c r="Y13" s="10"/>
      <c r="Z13" s="10"/>
      <c r="AA13" s="10"/>
      <c r="AB13" s="10"/>
    </row>
    <row r="14" spans="1:30" s="2" customFormat="1" hidden="1">
      <c r="A14" s="10"/>
      <c r="B14" s="10"/>
      <c r="C14" s="10"/>
      <c r="D14" s="10"/>
      <c r="E14" s="10"/>
      <c r="F14" s="10"/>
      <c r="G14" s="10"/>
      <c r="H14" s="10"/>
      <c r="I14" s="10"/>
      <c r="J14" s="10"/>
      <c r="K14" s="10"/>
      <c r="L14" s="10"/>
      <c r="M14" s="17"/>
      <c r="N14" s="18"/>
      <c r="O14" s="18"/>
      <c r="P14" s="19"/>
      <c r="Q14" s="25"/>
      <c r="R14" s="10"/>
      <c r="S14" s="19"/>
      <c r="T14" s="25"/>
      <c r="U14" s="25"/>
      <c r="V14" s="10"/>
      <c r="W14" s="10"/>
      <c r="X14" s="10"/>
      <c r="Y14" s="10"/>
      <c r="Z14" s="10"/>
      <c r="AA14" s="10"/>
      <c r="AB14" s="10"/>
    </row>
    <row r="15" spans="1:30" s="2" customFormat="1" hidden="1">
      <c r="A15" s="10"/>
      <c r="B15" s="10"/>
      <c r="C15" s="10"/>
      <c r="D15" s="10"/>
      <c r="E15" s="10"/>
      <c r="F15" s="10"/>
      <c r="G15" s="10"/>
      <c r="H15" s="10"/>
      <c r="I15" s="10"/>
      <c r="J15" s="10"/>
      <c r="K15" s="10"/>
      <c r="L15" s="10"/>
      <c r="M15" s="17"/>
      <c r="N15" s="18"/>
      <c r="O15" s="18"/>
      <c r="P15" s="19"/>
      <c r="Q15" s="25"/>
      <c r="R15" s="10"/>
      <c r="S15" s="19"/>
      <c r="T15" s="25"/>
      <c r="U15" s="25"/>
      <c r="V15" s="10"/>
      <c r="W15" s="10"/>
      <c r="X15" s="10"/>
      <c r="Y15" s="10"/>
      <c r="Z15" s="10"/>
      <c r="AA15" s="10"/>
      <c r="AB15" s="10"/>
    </row>
    <row r="16" spans="1:30" s="2" customFormat="1" hidden="1">
      <c r="A16" s="10"/>
      <c r="B16" s="10"/>
      <c r="C16" s="10"/>
      <c r="D16" s="10"/>
      <c r="E16" s="10"/>
      <c r="F16" s="10"/>
      <c r="G16" s="10"/>
      <c r="H16" s="10"/>
      <c r="I16" s="10"/>
      <c r="J16" s="10"/>
      <c r="K16" s="10"/>
      <c r="L16" s="10"/>
      <c r="M16" s="17"/>
      <c r="N16" s="18"/>
      <c r="O16" s="18"/>
      <c r="P16" s="19"/>
      <c r="Q16" s="25"/>
      <c r="R16" s="10"/>
      <c r="S16" s="19"/>
      <c r="T16" s="25"/>
      <c r="U16" s="25"/>
      <c r="V16" s="10"/>
      <c r="W16" s="10"/>
      <c r="X16" s="10"/>
      <c r="Y16" s="10"/>
      <c r="Z16" s="10"/>
      <c r="AA16" s="10"/>
      <c r="AB16" s="10"/>
    </row>
    <row r="17" spans="1:30" s="2" customFormat="1" hidden="1">
      <c r="A17" s="10"/>
      <c r="B17" s="10"/>
      <c r="C17" s="10"/>
      <c r="D17" s="10"/>
      <c r="E17" s="10"/>
      <c r="F17" s="10"/>
      <c r="G17" s="10"/>
      <c r="H17" s="10"/>
      <c r="I17" s="10"/>
      <c r="J17" s="10"/>
      <c r="K17" s="10"/>
      <c r="L17" s="10"/>
      <c r="M17" s="17"/>
      <c r="N17" s="18"/>
      <c r="O17" s="18"/>
      <c r="P17" s="19"/>
      <c r="Q17" s="25"/>
      <c r="R17" s="10"/>
      <c r="S17" s="19"/>
      <c r="T17" s="25"/>
      <c r="U17" s="25"/>
      <c r="V17" s="10"/>
      <c r="W17" s="10"/>
      <c r="X17" s="10"/>
      <c r="Y17" s="10"/>
      <c r="Z17" s="10"/>
      <c r="AA17" s="10"/>
      <c r="AB17" s="10"/>
    </row>
    <row r="18" spans="1:30" s="2" customFormat="1" hidden="1">
      <c r="A18" s="10"/>
      <c r="B18" s="10"/>
      <c r="C18" s="10"/>
      <c r="D18" s="10"/>
      <c r="E18" s="10"/>
      <c r="F18" s="10"/>
      <c r="G18" s="10"/>
      <c r="H18" s="10"/>
      <c r="I18" s="10"/>
      <c r="J18" s="10"/>
      <c r="K18" s="10"/>
      <c r="L18" s="10"/>
      <c r="M18" s="17"/>
      <c r="N18" s="18"/>
      <c r="O18" s="18"/>
      <c r="P18" s="19"/>
      <c r="Q18" s="25"/>
      <c r="R18" s="10"/>
      <c r="S18" s="19"/>
      <c r="T18" s="25"/>
      <c r="U18" s="25"/>
      <c r="V18" s="10"/>
      <c r="W18" s="10"/>
      <c r="X18" s="10"/>
      <c r="Y18" s="10"/>
      <c r="Z18" s="10"/>
      <c r="AA18" s="10"/>
      <c r="AB18" s="10"/>
    </row>
    <row r="19" spans="1:30" s="2" customFormat="1" hidden="1">
      <c r="A19" s="10"/>
      <c r="B19" s="10"/>
      <c r="C19" s="10"/>
      <c r="D19" s="10"/>
      <c r="E19" s="10"/>
      <c r="F19" s="10"/>
      <c r="G19" s="10"/>
      <c r="H19" s="10"/>
      <c r="I19" s="10"/>
      <c r="J19" s="10"/>
      <c r="K19" s="10"/>
      <c r="L19" s="10"/>
      <c r="M19" s="17"/>
      <c r="N19" s="18"/>
      <c r="O19" s="18"/>
      <c r="P19" s="19"/>
      <c r="Q19" s="25"/>
      <c r="R19" s="10"/>
      <c r="S19" s="19"/>
      <c r="T19" s="25"/>
      <c r="U19" s="25"/>
      <c r="V19" s="10"/>
      <c r="W19" s="10"/>
      <c r="X19" s="10"/>
      <c r="Y19" s="10"/>
      <c r="Z19" s="10"/>
      <c r="AA19" s="10"/>
      <c r="AB19" s="10"/>
    </row>
    <row r="20" spans="1:30" s="2" customFormat="1" hidden="1">
      <c r="A20" s="10"/>
      <c r="B20" s="10"/>
      <c r="C20" s="10"/>
      <c r="D20" s="10"/>
      <c r="E20" s="10"/>
      <c r="F20" s="10"/>
      <c r="G20" s="10"/>
      <c r="H20" s="10"/>
      <c r="I20" s="10"/>
      <c r="J20" s="10"/>
      <c r="K20" s="10"/>
      <c r="L20" s="10"/>
      <c r="M20" s="17"/>
      <c r="N20" s="18"/>
      <c r="O20" s="18"/>
      <c r="P20" s="19"/>
      <c r="Q20" s="25"/>
      <c r="R20" s="10"/>
      <c r="S20" s="19"/>
      <c r="T20" s="25"/>
      <c r="U20" s="25"/>
      <c r="V20" s="10"/>
      <c r="W20" s="10"/>
      <c r="X20" s="10"/>
      <c r="Y20" s="10"/>
      <c r="Z20" s="10"/>
      <c r="AA20" s="10"/>
      <c r="AB20" s="10"/>
    </row>
    <row r="21" spans="1:30" s="2" customFormat="1" hidden="1">
      <c r="A21" s="10"/>
      <c r="B21" s="10"/>
      <c r="C21" s="10"/>
      <c r="D21" s="10"/>
      <c r="E21" s="10"/>
      <c r="F21" s="10"/>
      <c r="G21" s="10"/>
      <c r="H21" s="10"/>
      <c r="I21" s="10"/>
      <c r="J21" s="10"/>
      <c r="K21" s="10"/>
      <c r="L21" s="10"/>
      <c r="M21" s="17"/>
      <c r="N21" s="18"/>
      <c r="O21" s="18"/>
      <c r="P21" s="19"/>
      <c r="Q21" s="25"/>
      <c r="R21" s="10"/>
      <c r="S21" s="19"/>
      <c r="T21" s="25"/>
      <c r="U21" s="25"/>
      <c r="V21" s="10"/>
      <c r="W21" s="10"/>
      <c r="X21" s="10"/>
      <c r="Y21" s="10"/>
      <c r="Z21" s="10"/>
      <c r="AA21" s="10"/>
      <c r="AB21" s="10"/>
    </row>
    <row r="22" spans="1:30" s="2" customFormat="1" hidden="1">
      <c r="A22" s="10"/>
      <c r="B22" s="10"/>
      <c r="C22" s="10"/>
      <c r="D22" s="10"/>
      <c r="E22" s="10"/>
      <c r="F22" s="10"/>
      <c r="G22" s="10"/>
      <c r="H22" s="10"/>
      <c r="I22" s="10"/>
      <c r="J22" s="10"/>
      <c r="K22" s="10"/>
      <c r="L22" s="10"/>
      <c r="M22" s="17"/>
      <c r="N22" s="18"/>
      <c r="O22" s="18"/>
      <c r="P22" s="19"/>
      <c r="Q22" s="25"/>
      <c r="R22" s="10"/>
      <c r="S22" s="19"/>
      <c r="T22" s="25"/>
      <c r="U22" s="25"/>
      <c r="V22" s="10"/>
      <c r="W22" s="10"/>
      <c r="X22" s="10"/>
      <c r="Y22" s="10"/>
      <c r="Z22" s="10"/>
      <c r="AA22" s="10"/>
      <c r="AB22" s="10"/>
    </row>
    <row r="23" spans="1:30" s="2" customFormat="1" hidden="1">
      <c r="A23" s="10"/>
      <c r="B23" s="10"/>
      <c r="C23" s="10"/>
      <c r="D23" s="10"/>
      <c r="E23" s="10"/>
      <c r="F23" s="10"/>
      <c r="G23" s="10"/>
      <c r="H23" s="10"/>
      <c r="I23" s="10"/>
      <c r="J23" s="10"/>
      <c r="K23" s="10"/>
      <c r="L23" s="10"/>
      <c r="M23" s="17"/>
      <c r="N23" s="18"/>
      <c r="O23" s="18"/>
      <c r="P23" s="19"/>
      <c r="Q23" s="25"/>
      <c r="R23" s="10"/>
      <c r="S23" s="19"/>
      <c r="T23" s="25"/>
      <c r="U23" s="25"/>
      <c r="V23" s="10"/>
      <c r="W23" s="10"/>
      <c r="X23" s="10"/>
      <c r="Y23" s="10"/>
      <c r="Z23" s="10"/>
      <c r="AA23" s="10"/>
      <c r="AB23" s="10"/>
    </row>
    <row r="24" spans="1:30" s="2" customFormat="1" hidden="1">
      <c r="A24" s="10"/>
      <c r="B24" s="10"/>
      <c r="C24" s="10"/>
      <c r="D24" s="10"/>
      <c r="E24" s="10"/>
      <c r="F24" s="10"/>
      <c r="G24" s="10"/>
      <c r="H24" s="10"/>
      <c r="I24" s="10"/>
      <c r="J24" s="10"/>
      <c r="K24" s="10"/>
      <c r="L24" s="10"/>
      <c r="M24" s="17"/>
      <c r="N24" s="18"/>
      <c r="O24" s="18"/>
      <c r="P24" s="19"/>
      <c r="Q24" s="25"/>
      <c r="R24" s="10"/>
      <c r="S24" s="19"/>
      <c r="T24" s="25"/>
      <c r="U24" s="25"/>
      <c r="V24" s="10"/>
      <c r="W24" s="10"/>
      <c r="X24" s="10"/>
      <c r="Y24" s="10"/>
      <c r="Z24" s="10"/>
      <c r="AA24" s="10"/>
      <c r="AB24" s="10"/>
    </row>
    <row r="25" spans="1:30" s="2" customFormat="1" hidden="1">
      <c r="A25" s="10"/>
      <c r="B25" s="10"/>
      <c r="C25" s="10"/>
      <c r="D25" s="10"/>
      <c r="E25" s="10"/>
      <c r="F25" s="10"/>
      <c r="G25" s="10"/>
      <c r="H25" s="10"/>
      <c r="I25" s="10"/>
      <c r="J25" s="10"/>
      <c r="K25" s="10"/>
      <c r="L25" s="10"/>
      <c r="M25" s="17"/>
      <c r="N25" s="18"/>
      <c r="O25" s="18"/>
      <c r="P25" s="19"/>
      <c r="Q25" s="25"/>
      <c r="R25" s="10"/>
      <c r="S25" s="19"/>
      <c r="T25" s="25"/>
      <c r="U25" s="25"/>
      <c r="V25" s="10"/>
      <c r="W25" s="10"/>
      <c r="X25" s="10"/>
      <c r="Y25" s="10"/>
      <c r="Z25" s="10"/>
      <c r="AA25" s="10"/>
      <c r="AB25" s="10"/>
    </row>
    <row r="26" spans="1:30" s="1" customFormat="1" ht="70">
      <c r="A26" s="9">
        <v>2</v>
      </c>
      <c r="B26" s="9" t="str">
        <f>B4</f>
        <v>四川赛狄信息技术股份公司</v>
      </c>
      <c r="C26" s="9" t="str">
        <f t="shared" ref="C26:G26" si="3">C4</f>
        <v>成都市市场监督管理局</v>
      </c>
      <c r="D26" s="9" t="str">
        <f t="shared" si="3"/>
        <v>9151000066028378XC</v>
      </c>
      <c r="E26" s="9" t="str">
        <f t="shared" si="3"/>
        <v>股份有限公司</v>
      </c>
      <c r="F26" s="9" t="str">
        <f t="shared" si="3"/>
        <v>高新区税务局</v>
      </c>
      <c r="G26" s="9" t="str">
        <f t="shared" si="3"/>
        <v>工商银行成都高新西部园区支行营业室</v>
      </c>
      <c r="H26" s="9" t="s">
        <v>130</v>
      </c>
      <c r="I26" s="9" t="s">
        <v>131</v>
      </c>
      <c r="J26" s="9" t="s">
        <v>39</v>
      </c>
      <c r="K26" s="9">
        <v>499</v>
      </c>
      <c r="L26" s="9" t="s">
        <v>134</v>
      </c>
      <c r="M26" s="20" t="s">
        <v>135</v>
      </c>
      <c r="N26" s="16">
        <v>44865</v>
      </c>
      <c r="O26" s="16">
        <v>45226</v>
      </c>
      <c r="P26" s="9">
        <f>P31-N26</f>
        <v>361</v>
      </c>
      <c r="Q26" s="22">
        <f>SUM(Q27:Q47)</f>
        <v>21.26</v>
      </c>
      <c r="R26" s="9">
        <v>7.42</v>
      </c>
      <c r="S26" s="9"/>
      <c r="T26" s="9">
        <f>SUM(T27:T47)</f>
        <v>21.26</v>
      </c>
      <c r="U26" s="23">
        <v>4.2500000000000003E-2</v>
      </c>
      <c r="V26" s="16"/>
      <c r="W26" s="9" t="s">
        <v>136</v>
      </c>
      <c r="X26" s="24">
        <v>1.4999999999999999E-2</v>
      </c>
      <c r="Y26" s="22">
        <f>ROUNDDOWN(IF((O26-N26+1)*K26*X26/365&gt;R26,R26,(O26-N26+1)*K26*X26/365),2)</f>
        <v>7.42</v>
      </c>
      <c r="Z26" s="127">
        <f>R26-Y26</f>
        <v>0</v>
      </c>
      <c r="AA26" s="9"/>
      <c r="AB26" s="9" t="s">
        <v>61</v>
      </c>
      <c r="AD26" s="1">
        <f>(O26-N26+1)*K26*X26/365</f>
        <v>7.4234794520547904</v>
      </c>
    </row>
    <row r="27" spans="1:30" s="2" customFormat="1">
      <c r="A27" s="10"/>
      <c r="B27" s="10"/>
      <c r="C27" s="10"/>
      <c r="D27" s="10"/>
      <c r="E27" s="10"/>
      <c r="F27" s="10"/>
      <c r="G27" s="10"/>
      <c r="H27" s="10"/>
      <c r="I27" s="10"/>
      <c r="J27" s="10"/>
      <c r="K27" s="10"/>
      <c r="L27" s="10"/>
      <c r="M27" s="17"/>
      <c r="N27" s="18"/>
      <c r="O27" s="16"/>
      <c r="P27" s="19">
        <v>44916</v>
      </c>
      <c r="Q27" s="25">
        <v>3</v>
      </c>
      <c r="R27" s="10"/>
      <c r="S27" s="19">
        <f>P27</f>
        <v>44916</v>
      </c>
      <c r="T27" s="25">
        <f>(S27-N26)/360*$U$26*$K$26</f>
        <v>3</v>
      </c>
      <c r="U27" s="25">
        <f>T27-Q27</f>
        <v>0</v>
      </c>
      <c r="V27" s="18">
        <v>45226</v>
      </c>
      <c r="W27" s="10">
        <v>499</v>
      </c>
      <c r="X27" s="10"/>
      <c r="Y27" s="10">
        <f>ROUNDDOWN((V27-N26)*K26*X26/365,2)</f>
        <v>7.4</v>
      </c>
      <c r="Z27" s="10"/>
      <c r="AA27" s="10"/>
      <c r="AB27" s="10"/>
    </row>
    <row r="28" spans="1:30" s="2" customFormat="1">
      <c r="A28" s="10"/>
      <c r="B28" s="10"/>
      <c r="C28" s="10"/>
      <c r="D28" s="10"/>
      <c r="E28" s="10"/>
      <c r="F28" s="10"/>
      <c r="G28" s="10"/>
      <c r="H28" s="10"/>
      <c r="I28" s="10"/>
      <c r="J28" s="10"/>
      <c r="K28" s="10"/>
      <c r="L28" s="10"/>
      <c r="M28" s="17"/>
      <c r="N28" s="18"/>
      <c r="O28" s="18"/>
      <c r="P28" s="19">
        <v>45006</v>
      </c>
      <c r="Q28" s="25">
        <v>5.3</v>
      </c>
      <c r="R28" s="10"/>
      <c r="S28" s="19">
        <f t="shared" ref="S28:S31" si="4">P28</f>
        <v>45006</v>
      </c>
      <c r="T28" s="25">
        <f>(S28-S27)*$U$26*$K$26/360</f>
        <v>5.3</v>
      </c>
      <c r="U28" s="25">
        <f t="shared" ref="U28:U31" si="5">T28-Q28</f>
        <v>0</v>
      </c>
      <c r="V28" s="10"/>
      <c r="W28" s="10"/>
      <c r="X28" s="10"/>
      <c r="Y28" s="29"/>
      <c r="Z28" s="10"/>
      <c r="AA28" s="10"/>
      <c r="AB28" s="10"/>
    </row>
    <row r="29" spans="1:30" s="2" customFormat="1">
      <c r="A29" s="10"/>
      <c r="B29" s="10"/>
      <c r="C29" s="10"/>
      <c r="D29" s="10"/>
      <c r="E29" s="10"/>
      <c r="F29" s="10"/>
      <c r="G29" s="10"/>
      <c r="H29" s="10"/>
      <c r="I29" s="10"/>
      <c r="J29" s="10"/>
      <c r="K29" s="10"/>
      <c r="L29" s="10"/>
      <c r="M29" s="17"/>
      <c r="N29" s="18"/>
      <c r="O29" s="18"/>
      <c r="P29" s="19">
        <v>45098</v>
      </c>
      <c r="Q29" s="25">
        <v>5.42</v>
      </c>
      <c r="R29" s="10"/>
      <c r="S29" s="19">
        <f t="shared" si="4"/>
        <v>45098</v>
      </c>
      <c r="T29" s="25">
        <f t="shared" ref="T29:T31" si="6">(S29-S28)*$U$26*$K$26/360</f>
        <v>5.42</v>
      </c>
      <c r="U29" s="25">
        <f t="shared" si="5"/>
        <v>0</v>
      </c>
      <c r="V29" s="10"/>
      <c r="W29" s="10"/>
      <c r="X29" s="10"/>
      <c r="Y29" s="10"/>
      <c r="Z29" s="10"/>
      <c r="AA29" s="10"/>
      <c r="AB29" s="10"/>
    </row>
    <row r="30" spans="1:30" s="2" customFormat="1">
      <c r="A30" s="10"/>
      <c r="B30" s="10"/>
      <c r="C30" s="10"/>
      <c r="D30" s="10"/>
      <c r="E30" s="10"/>
      <c r="F30" s="10"/>
      <c r="G30" s="10"/>
      <c r="H30" s="10"/>
      <c r="I30" s="10"/>
      <c r="J30" s="10"/>
      <c r="K30" s="10"/>
      <c r="L30" s="10"/>
      <c r="M30" s="17"/>
      <c r="N30" s="18"/>
      <c r="O30" s="18"/>
      <c r="P30" s="19">
        <v>45190</v>
      </c>
      <c r="Q30" s="25">
        <v>5.42</v>
      </c>
      <c r="R30" s="10"/>
      <c r="S30" s="19">
        <f t="shared" si="4"/>
        <v>45190</v>
      </c>
      <c r="T30" s="25">
        <f t="shared" si="6"/>
        <v>5.42</v>
      </c>
      <c r="U30" s="25">
        <f t="shared" si="5"/>
        <v>0</v>
      </c>
      <c r="V30" s="10"/>
      <c r="W30" s="10"/>
      <c r="X30" s="10"/>
      <c r="Y30" s="10"/>
      <c r="Z30" s="10"/>
      <c r="AA30" s="10"/>
      <c r="AB30" s="10"/>
    </row>
    <row r="31" spans="1:30" s="2" customFormat="1">
      <c r="A31" s="10"/>
      <c r="B31" s="10"/>
      <c r="C31" s="10"/>
      <c r="D31" s="10"/>
      <c r="E31" s="10"/>
      <c r="F31" s="10"/>
      <c r="G31" s="10"/>
      <c r="H31" s="10"/>
      <c r="I31" s="10"/>
      <c r="J31" s="10"/>
      <c r="K31" s="10"/>
      <c r="L31" s="10"/>
      <c r="M31" s="17"/>
      <c r="N31" s="18"/>
      <c r="O31" s="18"/>
      <c r="P31" s="19">
        <v>45226</v>
      </c>
      <c r="Q31" s="25">
        <v>2.12</v>
      </c>
      <c r="R31" s="10"/>
      <c r="S31" s="19">
        <f t="shared" si="4"/>
        <v>45226</v>
      </c>
      <c r="T31" s="25">
        <f t="shared" si="6"/>
        <v>2.12</v>
      </c>
      <c r="U31" s="25">
        <f t="shared" si="5"/>
        <v>0</v>
      </c>
      <c r="V31" s="10"/>
      <c r="W31" s="10"/>
      <c r="X31" s="10"/>
      <c r="Y31" s="10"/>
      <c r="Z31" s="10"/>
      <c r="AA31" s="10"/>
      <c r="AB31" s="10"/>
    </row>
    <row r="32" spans="1:30" s="2" customFormat="1" hidden="1">
      <c r="A32" s="10"/>
      <c r="B32" s="10"/>
      <c r="C32" s="10"/>
      <c r="D32" s="10"/>
      <c r="E32" s="10"/>
      <c r="F32" s="10"/>
      <c r="G32" s="10"/>
      <c r="H32" s="10"/>
      <c r="I32" s="10"/>
      <c r="J32" s="10"/>
      <c r="K32" s="10"/>
      <c r="L32" s="10"/>
      <c r="M32" s="17"/>
      <c r="N32" s="18"/>
      <c r="O32" s="18"/>
      <c r="P32" s="19"/>
      <c r="Q32" s="25"/>
      <c r="R32" s="10"/>
      <c r="S32" s="19"/>
      <c r="T32" s="25"/>
      <c r="U32" s="25"/>
      <c r="V32" s="10"/>
      <c r="W32" s="10"/>
      <c r="X32" s="10"/>
      <c r="Y32" s="10"/>
      <c r="Z32" s="10"/>
      <c r="AA32" s="10"/>
      <c r="AB32" s="10"/>
    </row>
    <row r="33" spans="1:28" s="2" customFormat="1" hidden="1">
      <c r="A33" s="10"/>
      <c r="B33" s="10"/>
      <c r="C33" s="10"/>
      <c r="D33" s="10"/>
      <c r="E33" s="10"/>
      <c r="F33" s="10"/>
      <c r="G33" s="10"/>
      <c r="H33" s="10"/>
      <c r="I33" s="10"/>
      <c r="J33" s="10"/>
      <c r="K33" s="10"/>
      <c r="L33" s="10"/>
      <c r="M33" s="17"/>
      <c r="N33" s="18"/>
      <c r="O33" s="18"/>
      <c r="P33" s="19"/>
      <c r="Q33" s="25"/>
      <c r="R33" s="10"/>
      <c r="S33" s="19"/>
      <c r="T33" s="25"/>
      <c r="U33" s="25"/>
      <c r="V33" s="10"/>
      <c r="W33" s="10"/>
      <c r="X33" s="10"/>
      <c r="Y33" s="10"/>
      <c r="Z33" s="10"/>
      <c r="AA33" s="10"/>
      <c r="AB33" s="10"/>
    </row>
    <row r="34" spans="1:28" s="2" customFormat="1" hidden="1">
      <c r="A34" s="10"/>
      <c r="B34" s="10"/>
      <c r="C34" s="10"/>
      <c r="D34" s="10"/>
      <c r="E34" s="10"/>
      <c r="F34" s="10"/>
      <c r="G34" s="10"/>
      <c r="H34" s="10"/>
      <c r="I34" s="10"/>
      <c r="J34" s="10"/>
      <c r="K34" s="10"/>
      <c r="L34" s="10"/>
      <c r="M34" s="17"/>
      <c r="N34" s="18"/>
      <c r="O34" s="18"/>
      <c r="P34" s="19"/>
      <c r="Q34" s="25"/>
      <c r="R34" s="10"/>
      <c r="S34" s="19"/>
      <c r="T34" s="25"/>
      <c r="U34" s="25"/>
      <c r="V34" s="10"/>
      <c r="W34" s="10"/>
      <c r="X34" s="10"/>
      <c r="Y34" s="10"/>
      <c r="Z34" s="10"/>
      <c r="AA34" s="10"/>
      <c r="AB34" s="10"/>
    </row>
    <row r="35" spans="1:28" s="2" customFormat="1" hidden="1">
      <c r="A35" s="10"/>
      <c r="B35" s="10"/>
      <c r="C35" s="10"/>
      <c r="D35" s="10"/>
      <c r="E35" s="10"/>
      <c r="F35" s="10"/>
      <c r="G35" s="10"/>
      <c r="H35" s="10"/>
      <c r="I35" s="10"/>
      <c r="J35" s="10"/>
      <c r="K35" s="10"/>
      <c r="L35" s="10"/>
      <c r="M35" s="17"/>
      <c r="N35" s="18"/>
      <c r="O35" s="18"/>
      <c r="P35" s="19"/>
      <c r="Q35" s="25"/>
      <c r="R35" s="10"/>
      <c r="S35" s="19"/>
      <c r="T35" s="25"/>
      <c r="U35" s="25"/>
      <c r="V35" s="10"/>
      <c r="W35" s="10"/>
      <c r="X35" s="10"/>
      <c r="Y35" s="10"/>
      <c r="Z35" s="10"/>
      <c r="AA35" s="10"/>
      <c r="AB35" s="10"/>
    </row>
    <row r="36" spans="1:28" s="2" customFormat="1" hidden="1">
      <c r="A36" s="10"/>
      <c r="B36" s="10"/>
      <c r="C36" s="10"/>
      <c r="D36" s="10"/>
      <c r="E36" s="10"/>
      <c r="F36" s="10"/>
      <c r="G36" s="10"/>
      <c r="H36" s="10"/>
      <c r="I36" s="10"/>
      <c r="J36" s="10"/>
      <c r="K36" s="10"/>
      <c r="L36" s="10"/>
      <c r="M36" s="17"/>
      <c r="N36" s="18"/>
      <c r="O36" s="18"/>
      <c r="P36" s="19"/>
      <c r="Q36" s="25"/>
      <c r="R36" s="10"/>
      <c r="S36" s="19"/>
      <c r="T36" s="25"/>
      <c r="U36" s="25"/>
      <c r="V36" s="10"/>
      <c r="W36" s="10"/>
      <c r="X36" s="10"/>
      <c r="Y36" s="10"/>
      <c r="Z36" s="10"/>
      <c r="AA36" s="10"/>
      <c r="AB36" s="10"/>
    </row>
    <row r="37" spans="1:28" s="2" customFormat="1" hidden="1">
      <c r="A37" s="10"/>
      <c r="B37" s="10"/>
      <c r="C37" s="10"/>
      <c r="D37" s="10"/>
      <c r="E37" s="10"/>
      <c r="F37" s="10"/>
      <c r="G37" s="10"/>
      <c r="H37" s="10"/>
      <c r="I37" s="10"/>
      <c r="J37" s="10"/>
      <c r="K37" s="10"/>
      <c r="L37" s="10"/>
      <c r="M37" s="17"/>
      <c r="N37" s="18"/>
      <c r="O37" s="18"/>
      <c r="P37" s="19"/>
      <c r="Q37" s="25"/>
      <c r="R37" s="10"/>
      <c r="S37" s="19"/>
      <c r="T37" s="25"/>
      <c r="U37" s="25"/>
      <c r="V37" s="10"/>
      <c r="W37" s="10"/>
      <c r="X37" s="10"/>
      <c r="Y37" s="10"/>
      <c r="Z37" s="10"/>
      <c r="AA37" s="10"/>
      <c r="AB37" s="10"/>
    </row>
    <row r="38" spans="1:28" s="2" customFormat="1" hidden="1">
      <c r="A38" s="10"/>
      <c r="B38" s="10"/>
      <c r="C38" s="10"/>
      <c r="D38" s="10"/>
      <c r="E38" s="10"/>
      <c r="F38" s="10"/>
      <c r="G38" s="10"/>
      <c r="H38" s="10"/>
      <c r="I38" s="10"/>
      <c r="J38" s="10"/>
      <c r="K38" s="10"/>
      <c r="L38" s="10"/>
      <c r="M38" s="17"/>
      <c r="N38" s="18"/>
      <c r="O38" s="18"/>
      <c r="P38" s="19"/>
      <c r="Q38" s="25"/>
      <c r="R38" s="10"/>
      <c r="S38" s="19"/>
      <c r="T38" s="25"/>
      <c r="U38" s="25"/>
      <c r="V38" s="10"/>
      <c r="W38" s="10"/>
      <c r="X38" s="10"/>
      <c r="Y38" s="10"/>
      <c r="Z38" s="10"/>
      <c r="AA38" s="10"/>
      <c r="AB38" s="10"/>
    </row>
    <row r="39" spans="1:28" s="2" customFormat="1" hidden="1">
      <c r="A39" s="10"/>
      <c r="B39" s="10"/>
      <c r="C39" s="10"/>
      <c r="D39" s="10"/>
      <c r="E39" s="10"/>
      <c r="F39" s="10"/>
      <c r="G39" s="10"/>
      <c r="H39" s="10"/>
      <c r="I39" s="10"/>
      <c r="J39" s="10"/>
      <c r="K39" s="10"/>
      <c r="L39" s="10"/>
      <c r="M39" s="17"/>
      <c r="N39" s="18"/>
      <c r="O39" s="18"/>
      <c r="P39" s="19"/>
      <c r="Q39" s="25"/>
      <c r="R39" s="10"/>
      <c r="S39" s="19"/>
      <c r="T39" s="25"/>
      <c r="U39" s="25"/>
      <c r="V39" s="10"/>
      <c r="W39" s="10"/>
      <c r="X39" s="10"/>
      <c r="Y39" s="10"/>
      <c r="Z39" s="10"/>
      <c r="AA39" s="10"/>
      <c r="AB39" s="10"/>
    </row>
    <row r="40" spans="1:28" s="2" customFormat="1" hidden="1">
      <c r="A40" s="10"/>
      <c r="B40" s="10"/>
      <c r="C40" s="10"/>
      <c r="D40" s="10"/>
      <c r="E40" s="10"/>
      <c r="F40" s="10"/>
      <c r="G40" s="10"/>
      <c r="H40" s="10"/>
      <c r="I40" s="10"/>
      <c r="J40" s="10"/>
      <c r="K40" s="10"/>
      <c r="L40" s="10"/>
      <c r="M40" s="17"/>
      <c r="N40" s="18"/>
      <c r="O40" s="18"/>
      <c r="P40" s="19"/>
      <c r="Q40" s="25"/>
      <c r="R40" s="10"/>
      <c r="S40" s="19"/>
      <c r="T40" s="25"/>
      <c r="U40" s="25"/>
      <c r="V40" s="10"/>
      <c r="W40" s="10"/>
      <c r="X40" s="10"/>
      <c r="Y40" s="10"/>
      <c r="Z40" s="10"/>
      <c r="AA40" s="10"/>
      <c r="AB40" s="10"/>
    </row>
    <row r="41" spans="1:28" s="2" customFormat="1" hidden="1">
      <c r="A41" s="10"/>
      <c r="B41" s="10"/>
      <c r="C41" s="10"/>
      <c r="D41" s="10"/>
      <c r="E41" s="10"/>
      <c r="F41" s="10"/>
      <c r="G41" s="10"/>
      <c r="H41" s="10"/>
      <c r="I41" s="10"/>
      <c r="J41" s="10"/>
      <c r="K41" s="10"/>
      <c r="L41" s="10"/>
      <c r="M41" s="17"/>
      <c r="N41" s="18"/>
      <c r="O41" s="18"/>
      <c r="P41" s="19"/>
      <c r="Q41" s="25"/>
      <c r="R41" s="10"/>
      <c r="S41" s="19"/>
      <c r="T41" s="25"/>
      <c r="U41" s="25"/>
      <c r="V41" s="10"/>
      <c r="W41" s="10"/>
      <c r="X41" s="10"/>
      <c r="Y41" s="10"/>
      <c r="Z41" s="10"/>
      <c r="AA41" s="10"/>
      <c r="AB41" s="10"/>
    </row>
    <row r="42" spans="1:28" s="2" customFormat="1" hidden="1">
      <c r="A42" s="10"/>
      <c r="B42" s="10"/>
      <c r="C42" s="10"/>
      <c r="D42" s="10"/>
      <c r="E42" s="10"/>
      <c r="F42" s="10"/>
      <c r="G42" s="10"/>
      <c r="H42" s="10"/>
      <c r="I42" s="10"/>
      <c r="J42" s="10"/>
      <c r="K42" s="10"/>
      <c r="L42" s="10"/>
      <c r="M42" s="17"/>
      <c r="N42" s="18"/>
      <c r="O42" s="18"/>
      <c r="P42" s="19"/>
      <c r="Q42" s="25"/>
      <c r="R42" s="10"/>
      <c r="S42" s="19"/>
      <c r="T42" s="25"/>
      <c r="U42" s="25"/>
      <c r="V42" s="10"/>
      <c r="W42" s="10"/>
      <c r="X42" s="10"/>
      <c r="Y42" s="10"/>
      <c r="Z42" s="10"/>
      <c r="AA42" s="10"/>
      <c r="AB42" s="10"/>
    </row>
    <row r="43" spans="1:28" s="2" customFormat="1" hidden="1">
      <c r="A43" s="10"/>
      <c r="B43" s="10"/>
      <c r="C43" s="10"/>
      <c r="D43" s="10"/>
      <c r="E43" s="10"/>
      <c r="F43" s="10"/>
      <c r="G43" s="10"/>
      <c r="H43" s="10"/>
      <c r="I43" s="10"/>
      <c r="J43" s="10"/>
      <c r="K43" s="10"/>
      <c r="L43" s="10"/>
      <c r="M43" s="17"/>
      <c r="N43" s="18"/>
      <c r="O43" s="18"/>
      <c r="P43" s="19"/>
      <c r="Q43" s="25"/>
      <c r="R43" s="10"/>
      <c r="S43" s="19"/>
      <c r="T43" s="25"/>
      <c r="U43" s="25"/>
      <c r="V43" s="10"/>
      <c r="W43" s="10"/>
      <c r="X43" s="10"/>
      <c r="Y43" s="10"/>
      <c r="Z43" s="10"/>
      <c r="AA43" s="10"/>
      <c r="AB43" s="10"/>
    </row>
    <row r="44" spans="1:28" s="2" customFormat="1" hidden="1">
      <c r="A44" s="10"/>
      <c r="B44" s="10"/>
      <c r="C44" s="10"/>
      <c r="D44" s="10"/>
      <c r="E44" s="10"/>
      <c r="F44" s="10"/>
      <c r="G44" s="10"/>
      <c r="H44" s="10"/>
      <c r="I44" s="10"/>
      <c r="J44" s="10"/>
      <c r="K44" s="10"/>
      <c r="L44" s="10"/>
      <c r="M44" s="17"/>
      <c r="N44" s="18"/>
      <c r="O44" s="18"/>
      <c r="P44" s="19"/>
      <c r="Q44" s="25"/>
      <c r="R44" s="10"/>
      <c r="S44" s="19"/>
      <c r="T44" s="25"/>
      <c r="U44" s="25"/>
      <c r="V44" s="10"/>
      <c r="W44" s="10"/>
      <c r="X44" s="10"/>
      <c r="Y44" s="10"/>
      <c r="Z44" s="10"/>
      <c r="AA44" s="10"/>
      <c r="AB44" s="10"/>
    </row>
    <row r="45" spans="1:28" s="2" customFormat="1" hidden="1">
      <c r="A45" s="10"/>
      <c r="B45" s="10"/>
      <c r="C45" s="10"/>
      <c r="D45" s="10"/>
      <c r="E45" s="10"/>
      <c r="F45" s="10"/>
      <c r="G45" s="10"/>
      <c r="H45" s="10"/>
      <c r="I45" s="10"/>
      <c r="J45" s="10"/>
      <c r="K45" s="10"/>
      <c r="L45" s="10"/>
      <c r="M45" s="17"/>
      <c r="N45" s="18"/>
      <c r="O45" s="18"/>
      <c r="P45" s="19"/>
      <c r="Q45" s="25"/>
      <c r="R45" s="10"/>
      <c r="S45" s="19"/>
      <c r="T45" s="25"/>
      <c r="U45" s="25"/>
      <c r="V45" s="10"/>
      <c r="W45" s="10"/>
      <c r="X45" s="10"/>
      <c r="Y45" s="10"/>
      <c r="Z45" s="10"/>
      <c r="AA45" s="10"/>
      <c r="AB45" s="10"/>
    </row>
    <row r="46" spans="1:28" s="2" customFormat="1" hidden="1">
      <c r="A46" s="10"/>
      <c r="B46" s="10"/>
      <c r="C46" s="10"/>
      <c r="D46" s="10"/>
      <c r="E46" s="10"/>
      <c r="F46" s="10"/>
      <c r="G46" s="10"/>
      <c r="H46" s="10"/>
      <c r="I46" s="10"/>
      <c r="J46" s="10"/>
      <c r="K46" s="10"/>
      <c r="L46" s="10"/>
      <c r="M46" s="17"/>
      <c r="N46" s="18"/>
      <c r="O46" s="18"/>
      <c r="P46" s="19"/>
      <c r="Q46" s="25"/>
      <c r="R46" s="10"/>
      <c r="S46" s="19"/>
      <c r="T46" s="25"/>
      <c r="U46" s="25"/>
      <c r="V46" s="10"/>
      <c r="W46" s="10"/>
      <c r="X46" s="10"/>
      <c r="Y46" s="10"/>
      <c r="Z46" s="10"/>
      <c r="AA46" s="10"/>
      <c r="AB46" s="10"/>
    </row>
    <row r="47" spans="1:28" s="2" customFormat="1" hidden="1">
      <c r="A47" s="10"/>
      <c r="B47" s="10"/>
      <c r="C47" s="10"/>
      <c r="D47" s="10"/>
      <c r="E47" s="10"/>
      <c r="F47" s="10"/>
      <c r="G47" s="10"/>
      <c r="H47" s="10"/>
      <c r="I47" s="10"/>
      <c r="J47" s="10"/>
      <c r="K47" s="10"/>
      <c r="L47" s="10"/>
      <c r="M47" s="17"/>
      <c r="N47" s="18"/>
      <c r="O47" s="18"/>
      <c r="P47" s="19"/>
      <c r="Q47" s="25"/>
      <c r="R47" s="10"/>
      <c r="S47" s="19"/>
      <c r="T47" s="25"/>
      <c r="U47" s="25"/>
      <c r="V47" s="10"/>
      <c r="W47" s="10"/>
      <c r="X47" s="10"/>
      <c r="Y47" s="10"/>
      <c r="Z47" s="10"/>
      <c r="AA47" s="10"/>
      <c r="AB47" s="10"/>
    </row>
    <row r="48" spans="1:28" s="1" customFormat="1" ht="70">
      <c r="A48" s="9">
        <v>3</v>
      </c>
      <c r="B48" s="9" t="str">
        <f>B26</f>
        <v>四川赛狄信息技术股份公司</v>
      </c>
      <c r="C48" s="9" t="str">
        <f t="shared" ref="C48:G48" si="7">C26</f>
        <v>成都市市场监督管理局</v>
      </c>
      <c r="D48" s="9" t="str">
        <f t="shared" si="7"/>
        <v>9151000066028378XC</v>
      </c>
      <c r="E48" s="9" t="str">
        <f t="shared" si="7"/>
        <v>股份有限公司</v>
      </c>
      <c r="F48" s="9" t="str">
        <f t="shared" si="7"/>
        <v>高新区税务局</v>
      </c>
      <c r="G48" s="9" t="str">
        <f t="shared" si="7"/>
        <v>工商银行成都高新西部园区支行营业室</v>
      </c>
      <c r="H48" s="9" t="s">
        <v>130</v>
      </c>
      <c r="I48" s="9" t="s">
        <v>131</v>
      </c>
      <c r="J48" s="9" t="s">
        <v>137</v>
      </c>
      <c r="K48" s="9">
        <v>1000</v>
      </c>
      <c r="L48" s="9" t="s">
        <v>138</v>
      </c>
      <c r="M48" s="20" t="s">
        <v>139</v>
      </c>
      <c r="N48" s="16">
        <v>44889</v>
      </c>
      <c r="O48" s="16">
        <v>45291</v>
      </c>
      <c r="P48" s="9">
        <f>P55-N48</f>
        <v>483</v>
      </c>
      <c r="Q48" s="22">
        <f>SUM(Q49:Q69)</f>
        <v>55.62</v>
      </c>
      <c r="R48" s="127">
        <v>16.405000000000001</v>
      </c>
      <c r="S48" s="9"/>
      <c r="T48" s="9">
        <f>SUM(T49:T69)</f>
        <v>57.03</v>
      </c>
      <c r="U48" s="23">
        <v>4.2500000000000003E-2</v>
      </c>
      <c r="V48" s="16"/>
      <c r="W48" s="9" t="s">
        <v>140</v>
      </c>
      <c r="X48" s="24">
        <v>1.4999999999999999E-2</v>
      </c>
      <c r="Y48" s="22">
        <f>ROUNDDOWN(IF((O26-N26+1)*K26*X26/365&gt;R26,R26,(O26-N26+1)*K26*X26/365),2)</f>
        <v>7.42</v>
      </c>
      <c r="Z48" s="141">
        <f>R48-Y48</f>
        <v>8.99</v>
      </c>
      <c r="AA48" s="30" t="s">
        <v>108</v>
      </c>
      <c r="AB48" s="9" t="s">
        <v>61</v>
      </c>
    </row>
    <row r="49" spans="1:28" s="2" customFormat="1">
      <c r="A49" s="10"/>
      <c r="B49" s="10"/>
      <c r="C49" s="10"/>
      <c r="D49" s="10"/>
      <c r="E49" s="10"/>
      <c r="F49" s="10"/>
      <c r="G49" s="10"/>
      <c r="H49" s="10"/>
      <c r="I49" s="10"/>
      <c r="J49" s="10"/>
      <c r="K49" s="10"/>
      <c r="L49" s="10"/>
      <c r="M49" s="17"/>
      <c r="N49" s="18"/>
      <c r="O49" s="16">
        <v>45619</v>
      </c>
      <c r="P49" s="19">
        <v>44916</v>
      </c>
      <c r="Q49" s="25">
        <v>3.19</v>
      </c>
      <c r="R49" s="10"/>
      <c r="S49" s="19">
        <f>P49</f>
        <v>44916</v>
      </c>
      <c r="T49" s="25">
        <f>(S49-N48)/360*$U$48*$K$48</f>
        <v>3.19</v>
      </c>
      <c r="U49" s="25">
        <f>T49-Q49</f>
        <v>0</v>
      </c>
      <c r="V49" s="115">
        <v>45253</v>
      </c>
      <c r="W49" s="10">
        <v>100</v>
      </c>
      <c r="X49" s="10"/>
      <c r="Y49" s="29">
        <f>ROUNDDOWN((V49-N48)*K48*X48/365,2)</f>
        <v>14.95</v>
      </c>
      <c r="Z49" s="10"/>
      <c r="AA49" s="10"/>
      <c r="AB49" s="10"/>
    </row>
    <row r="50" spans="1:28" s="2" customFormat="1">
      <c r="A50" s="10"/>
      <c r="B50" s="10"/>
      <c r="C50" s="10"/>
      <c r="D50" s="10"/>
      <c r="E50" s="10"/>
      <c r="F50" s="10"/>
      <c r="G50" s="10"/>
      <c r="H50" s="10"/>
      <c r="I50" s="10"/>
      <c r="J50" s="10"/>
      <c r="K50" s="10"/>
      <c r="L50" s="10"/>
      <c r="M50" s="17"/>
      <c r="N50" s="18"/>
      <c r="O50" s="18"/>
      <c r="P50" s="19">
        <v>45006</v>
      </c>
      <c r="Q50" s="25">
        <v>10.63</v>
      </c>
      <c r="R50" s="10"/>
      <c r="S50" s="19">
        <f t="shared" ref="S50" si="8">P50</f>
        <v>45006</v>
      </c>
      <c r="T50" s="25">
        <f>(S50-S49)*$U$48*$K$48/360</f>
        <v>10.63</v>
      </c>
      <c r="U50" s="25">
        <f t="shared" ref="U50" si="9">T50-Q50</f>
        <v>0</v>
      </c>
      <c r="V50" s="10"/>
      <c r="W50" s="10"/>
      <c r="X50" s="10"/>
      <c r="Y50" s="29">
        <f>ROUNDDOWN((O48-V49+1)*(K48-W49)*X48/365,2)</f>
        <v>1.44</v>
      </c>
      <c r="Z50" s="10"/>
      <c r="AA50" s="10"/>
      <c r="AB50" s="10"/>
    </row>
    <row r="51" spans="1:28" s="2" customFormat="1">
      <c r="A51" s="10"/>
      <c r="B51" s="10"/>
      <c r="C51" s="10"/>
      <c r="D51" s="10"/>
      <c r="E51" s="10"/>
      <c r="F51" s="10"/>
      <c r="G51" s="10"/>
      <c r="H51" s="10"/>
      <c r="I51" s="10"/>
      <c r="J51" s="10"/>
      <c r="K51" s="10"/>
      <c r="L51" s="10"/>
      <c r="M51" s="17"/>
      <c r="N51" s="18"/>
      <c r="O51" s="18"/>
      <c r="P51" s="19">
        <v>45098</v>
      </c>
      <c r="Q51" s="25">
        <v>10.86</v>
      </c>
      <c r="R51" s="10"/>
      <c r="S51" s="19">
        <f t="shared" ref="S51:S55" si="10">P51</f>
        <v>45098</v>
      </c>
      <c r="T51" s="25">
        <f t="shared" ref="T51:T55" si="11">(S51-S50)*$U$48*$K$48/360</f>
        <v>10.86</v>
      </c>
      <c r="U51" s="25">
        <f t="shared" ref="U51:U55" si="12">T51-Q51</f>
        <v>0</v>
      </c>
      <c r="V51" s="10"/>
      <c r="W51" s="10"/>
      <c r="X51" s="10"/>
      <c r="Y51" s="10"/>
      <c r="Z51" s="10"/>
      <c r="AA51" s="10"/>
      <c r="AB51" s="10"/>
    </row>
    <row r="52" spans="1:28" s="2" customFormat="1">
      <c r="A52" s="10"/>
      <c r="B52" s="10"/>
      <c r="C52" s="10"/>
      <c r="D52" s="10"/>
      <c r="E52" s="10"/>
      <c r="F52" s="10"/>
      <c r="G52" s="10"/>
      <c r="H52" s="10"/>
      <c r="I52" s="10"/>
      <c r="J52" s="10"/>
      <c r="K52" s="10"/>
      <c r="L52" s="10"/>
      <c r="M52" s="17"/>
      <c r="N52" s="18"/>
      <c r="O52" s="18"/>
      <c r="P52" s="19">
        <v>45190</v>
      </c>
      <c r="Q52" s="25">
        <v>10.86</v>
      </c>
      <c r="R52" s="10"/>
      <c r="S52" s="19">
        <f t="shared" si="10"/>
        <v>45190</v>
      </c>
      <c r="T52" s="25">
        <f t="shared" si="11"/>
        <v>10.86</v>
      </c>
      <c r="U52" s="25">
        <f t="shared" si="12"/>
        <v>0</v>
      </c>
      <c r="V52" s="10"/>
      <c r="W52" s="10"/>
      <c r="X52" s="10"/>
      <c r="Y52" s="10"/>
      <c r="Z52" s="10"/>
      <c r="AA52" s="10"/>
      <c r="AB52" s="10"/>
    </row>
    <row r="53" spans="1:28" s="2" customFormat="1">
      <c r="A53" s="10"/>
      <c r="B53" s="10"/>
      <c r="C53" s="10"/>
      <c r="D53" s="10"/>
      <c r="E53" s="10"/>
      <c r="F53" s="10"/>
      <c r="G53" s="10"/>
      <c r="H53" s="10"/>
      <c r="I53" s="10"/>
      <c r="J53" s="10"/>
      <c r="K53" s="10"/>
      <c r="L53" s="10"/>
      <c r="M53" s="17"/>
      <c r="N53" s="18"/>
      <c r="O53" s="18"/>
      <c r="P53" s="19">
        <v>45253</v>
      </c>
      <c r="Q53" s="25">
        <v>0.74</v>
      </c>
      <c r="R53" s="10"/>
      <c r="S53" s="19">
        <f t="shared" si="10"/>
        <v>45253</v>
      </c>
      <c r="T53" s="25">
        <f t="shared" si="11"/>
        <v>7.44</v>
      </c>
      <c r="U53" s="25">
        <f t="shared" si="12"/>
        <v>6.7</v>
      </c>
      <c r="V53" s="10"/>
      <c r="W53" s="10"/>
      <c r="X53" s="10"/>
      <c r="Y53" s="10"/>
      <c r="Z53" s="10"/>
      <c r="AA53" s="10"/>
      <c r="AB53" s="10"/>
    </row>
    <row r="54" spans="1:28" s="2" customFormat="1">
      <c r="A54" s="10"/>
      <c r="B54" s="10"/>
      <c r="C54" s="10"/>
      <c r="D54" s="10"/>
      <c r="E54" s="10"/>
      <c r="F54" s="10"/>
      <c r="G54" s="10"/>
      <c r="H54" s="10"/>
      <c r="I54" s="10"/>
      <c r="J54" s="10"/>
      <c r="K54" s="10"/>
      <c r="L54" s="10"/>
      <c r="M54" s="17"/>
      <c r="N54" s="18"/>
      <c r="O54" s="18"/>
      <c r="P54" s="19">
        <v>45281</v>
      </c>
      <c r="Q54" s="25">
        <v>9.67</v>
      </c>
      <c r="R54" s="10"/>
      <c r="S54" s="19">
        <f t="shared" si="10"/>
        <v>45281</v>
      </c>
      <c r="T54" s="25">
        <f t="shared" si="11"/>
        <v>3.31</v>
      </c>
      <c r="U54" s="25">
        <f t="shared" si="12"/>
        <v>-6.36</v>
      </c>
      <c r="V54" s="10"/>
      <c r="W54" s="10"/>
      <c r="X54" s="10"/>
      <c r="Y54" s="10"/>
      <c r="Z54" s="10"/>
      <c r="AA54" s="10"/>
      <c r="AB54" s="10"/>
    </row>
    <row r="55" spans="1:28" s="2" customFormat="1">
      <c r="A55" s="10"/>
      <c r="B55" s="10"/>
      <c r="C55" s="10"/>
      <c r="D55" s="10"/>
      <c r="E55" s="10"/>
      <c r="F55" s="10"/>
      <c r="G55" s="10"/>
      <c r="H55" s="10"/>
      <c r="I55" s="10"/>
      <c r="J55" s="10"/>
      <c r="K55" s="10"/>
      <c r="L55" s="10"/>
      <c r="M55" s="17"/>
      <c r="N55" s="18"/>
      <c r="O55" s="18"/>
      <c r="P55" s="19">
        <v>45372</v>
      </c>
      <c r="Q55" s="25">
        <v>9.67</v>
      </c>
      <c r="R55" s="10"/>
      <c r="S55" s="19">
        <f t="shared" si="10"/>
        <v>45372</v>
      </c>
      <c r="T55" s="25">
        <f t="shared" si="11"/>
        <v>10.74</v>
      </c>
      <c r="U55" s="25">
        <f t="shared" si="12"/>
        <v>1.07</v>
      </c>
      <c r="V55" s="10"/>
      <c r="W55" s="10"/>
      <c r="X55" s="10"/>
      <c r="Y55" s="10"/>
      <c r="Z55" s="10"/>
      <c r="AA55" s="10"/>
      <c r="AB55" s="10"/>
    </row>
    <row r="56" spans="1:28" s="2" customFormat="1" hidden="1">
      <c r="A56" s="10"/>
      <c r="B56" s="10"/>
      <c r="C56" s="10"/>
      <c r="D56" s="10"/>
      <c r="E56" s="10"/>
      <c r="F56" s="10"/>
      <c r="G56" s="10"/>
      <c r="H56" s="10"/>
      <c r="I56" s="10"/>
      <c r="J56" s="10"/>
      <c r="K56" s="10"/>
      <c r="L56" s="10"/>
      <c r="M56" s="17"/>
      <c r="N56" s="18"/>
      <c r="O56" s="18"/>
      <c r="P56" s="19"/>
      <c r="Q56" s="25"/>
      <c r="R56" s="10"/>
      <c r="S56" s="19"/>
      <c r="T56" s="25"/>
      <c r="U56" s="25"/>
      <c r="V56" s="10"/>
      <c r="W56" s="10"/>
      <c r="X56" s="10"/>
      <c r="Y56" s="10"/>
      <c r="Z56" s="10"/>
      <c r="AA56" s="10"/>
      <c r="AB56" s="10"/>
    </row>
    <row r="57" spans="1:28" s="2" customFormat="1" hidden="1">
      <c r="A57" s="10"/>
      <c r="B57" s="10"/>
      <c r="C57" s="10"/>
      <c r="D57" s="10"/>
      <c r="E57" s="10"/>
      <c r="F57" s="10"/>
      <c r="G57" s="10"/>
      <c r="H57" s="10"/>
      <c r="I57" s="10"/>
      <c r="J57" s="10"/>
      <c r="K57" s="10"/>
      <c r="L57" s="10"/>
      <c r="M57" s="17"/>
      <c r="N57" s="18"/>
      <c r="O57" s="18"/>
      <c r="P57" s="19"/>
      <c r="Q57" s="25"/>
      <c r="R57" s="10"/>
      <c r="S57" s="19"/>
      <c r="T57" s="25"/>
      <c r="U57" s="25"/>
      <c r="V57" s="10"/>
      <c r="W57" s="10"/>
      <c r="X57" s="10"/>
      <c r="Y57" s="10"/>
      <c r="Z57" s="10"/>
      <c r="AA57" s="10"/>
      <c r="AB57" s="10"/>
    </row>
    <row r="58" spans="1:28" s="2" customFormat="1" hidden="1">
      <c r="A58" s="10"/>
      <c r="B58" s="10"/>
      <c r="C58" s="10"/>
      <c r="D58" s="10"/>
      <c r="E58" s="10"/>
      <c r="F58" s="10"/>
      <c r="G58" s="10"/>
      <c r="H58" s="10"/>
      <c r="I58" s="10"/>
      <c r="J58" s="10"/>
      <c r="K58" s="10"/>
      <c r="L58" s="10"/>
      <c r="M58" s="17"/>
      <c r="N58" s="18"/>
      <c r="O58" s="18"/>
      <c r="P58" s="19"/>
      <c r="Q58" s="25"/>
      <c r="R58" s="10"/>
      <c r="S58" s="19"/>
      <c r="T58" s="25"/>
      <c r="U58" s="25"/>
      <c r="V58" s="10"/>
      <c r="W58" s="10"/>
      <c r="X58" s="10"/>
      <c r="Y58" s="10"/>
      <c r="Z58" s="10"/>
      <c r="AA58" s="10"/>
      <c r="AB58" s="10"/>
    </row>
    <row r="59" spans="1:28" s="2" customFormat="1" hidden="1">
      <c r="A59" s="10"/>
      <c r="B59" s="10"/>
      <c r="C59" s="10"/>
      <c r="D59" s="10"/>
      <c r="E59" s="10"/>
      <c r="F59" s="10"/>
      <c r="G59" s="10"/>
      <c r="H59" s="10"/>
      <c r="I59" s="10"/>
      <c r="J59" s="10"/>
      <c r="K59" s="10"/>
      <c r="L59" s="10"/>
      <c r="M59" s="17"/>
      <c r="N59" s="18"/>
      <c r="O59" s="18"/>
      <c r="P59" s="19"/>
      <c r="Q59" s="25"/>
      <c r="R59" s="10"/>
      <c r="S59" s="19"/>
      <c r="T59" s="25"/>
      <c r="U59" s="25"/>
      <c r="V59" s="10"/>
      <c r="W59" s="10"/>
      <c r="X59" s="10"/>
      <c r="Y59" s="10"/>
      <c r="Z59" s="10"/>
      <c r="AA59" s="10"/>
      <c r="AB59" s="10"/>
    </row>
    <row r="60" spans="1:28" s="2" customFormat="1" hidden="1">
      <c r="A60" s="10"/>
      <c r="B60" s="10"/>
      <c r="C60" s="10"/>
      <c r="D60" s="10"/>
      <c r="E60" s="10"/>
      <c r="F60" s="10"/>
      <c r="G60" s="10"/>
      <c r="H60" s="10"/>
      <c r="I60" s="10"/>
      <c r="J60" s="10"/>
      <c r="K60" s="10"/>
      <c r="L60" s="10"/>
      <c r="M60" s="17"/>
      <c r="N60" s="18"/>
      <c r="O60" s="18"/>
      <c r="P60" s="19"/>
      <c r="Q60" s="25"/>
      <c r="R60" s="10"/>
      <c r="S60" s="19"/>
      <c r="T60" s="25"/>
      <c r="U60" s="25"/>
      <c r="V60" s="10"/>
      <c r="W60" s="10"/>
      <c r="X60" s="10"/>
      <c r="Y60" s="10"/>
      <c r="Z60" s="10"/>
      <c r="AA60" s="10"/>
      <c r="AB60" s="10"/>
    </row>
    <row r="61" spans="1:28" s="2" customFormat="1" hidden="1">
      <c r="A61" s="10"/>
      <c r="B61" s="10"/>
      <c r="C61" s="10"/>
      <c r="D61" s="10"/>
      <c r="E61" s="10"/>
      <c r="F61" s="10"/>
      <c r="G61" s="10"/>
      <c r="H61" s="10"/>
      <c r="I61" s="10"/>
      <c r="J61" s="10"/>
      <c r="K61" s="10"/>
      <c r="L61" s="10"/>
      <c r="M61" s="17"/>
      <c r="N61" s="18"/>
      <c r="O61" s="18"/>
      <c r="P61" s="19"/>
      <c r="Q61" s="25"/>
      <c r="R61" s="10"/>
      <c r="S61" s="19"/>
      <c r="T61" s="25"/>
      <c r="U61" s="25"/>
      <c r="V61" s="10"/>
      <c r="W61" s="10"/>
      <c r="X61" s="10"/>
      <c r="Y61" s="10"/>
      <c r="Z61" s="10"/>
      <c r="AA61" s="10"/>
      <c r="AB61" s="10"/>
    </row>
    <row r="62" spans="1:28" s="2" customFormat="1" hidden="1">
      <c r="A62" s="10"/>
      <c r="B62" s="10"/>
      <c r="C62" s="10"/>
      <c r="D62" s="10"/>
      <c r="E62" s="10"/>
      <c r="F62" s="10"/>
      <c r="G62" s="10"/>
      <c r="H62" s="10"/>
      <c r="I62" s="10"/>
      <c r="J62" s="10"/>
      <c r="K62" s="10"/>
      <c r="L62" s="10"/>
      <c r="M62" s="17"/>
      <c r="N62" s="18"/>
      <c r="O62" s="18"/>
      <c r="P62" s="19"/>
      <c r="Q62" s="25"/>
      <c r="R62" s="10"/>
      <c r="S62" s="19"/>
      <c r="T62" s="25"/>
      <c r="U62" s="25"/>
      <c r="V62" s="10"/>
      <c r="W62" s="10"/>
      <c r="X62" s="10"/>
      <c r="Y62" s="10"/>
      <c r="Z62" s="10"/>
      <c r="AA62" s="10"/>
      <c r="AB62" s="10"/>
    </row>
    <row r="63" spans="1:28" s="2" customFormat="1" hidden="1">
      <c r="A63" s="10"/>
      <c r="B63" s="10"/>
      <c r="C63" s="10"/>
      <c r="D63" s="10"/>
      <c r="E63" s="10"/>
      <c r="F63" s="10"/>
      <c r="G63" s="10"/>
      <c r="H63" s="10"/>
      <c r="I63" s="10"/>
      <c r="J63" s="10"/>
      <c r="K63" s="10"/>
      <c r="L63" s="10"/>
      <c r="M63" s="17"/>
      <c r="N63" s="18"/>
      <c r="O63" s="18"/>
      <c r="P63" s="19"/>
      <c r="Q63" s="25"/>
      <c r="R63" s="10"/>
      <c r="S63" s="19"/>
      <c r="T63" s="25"/>
      <c r="U63" s="25"/>
      <c r="V63" s="10"/>
      <c r="W63" s="10"/>
      <c r="X63" s="10"/>
      <c r="Y63" s="10"/>
      <c r="Z63" s="10"/>
      <c r="AA63" s="10"/>
      <c r="AB63" s="10"/>
    </row>
    <row r="64" spans="1:28" s="2" customFormat="1" hidden="1">
      <c r="A64" s="10"/>
      <c r="B64" s="10"/>
      <c r="C64" s="10"/>
      <c r="D64" s="10"/>
      <c r="E64" s="10"/>
      <c r="F64" s="10"/>
      <c r="G64" s="10"/>
      <c r="H64" s="10"/>
      <c r="I64" s="10"/>
      <c r="J64" s="10"/>
      <c r="K64" s="10"/>
      <c r="L64" s="10"/>
      <c r="M64" s="17"/>
      <c r="N64" s="18"/>
      <c r="O64" s="18"/>
      <c r="P64" s="19"/>
      <c r="Q64" s="25"/>
      <c r="R64" s="10"/>
      <c r="S64" s="19"/>
      <c r="T64" s="25"/>
      <c r="U64" s="25"/>
      <c r="V64" s="10"/>
      <c r="W64" s="10"/>
      <c r="X64" s="10"/>
      <c r="Y64" s="10"/>
      <c r="Z64" s="10"/>
      <c r="AA64" s="10"/>
      <c r="AB64" s="10"/>
    </row>
    <row r="65" spans="1:28" s="2" customFormat="1" hidden="1">
      <c r="A65" s="10"/>
      <c r="B65" s="10"/>
      <c r="C65" s="10"/>
      <c r="D65" s="10"/>
      <c r="E65" s="10"/>
      <c r="F65" s="10"/>
      <c r="G65" s="10"/>
      <c r="H65" s="10"/>
      <c r="I65" s="10"/>
      <c r="J65" s="10"/>
      <c r="K65" s="10"/>
      <c r="L65" s="10"/>
      <c r="M65" s="17"/>
      <c r="N65" s="18"/>
      <c r="O65" s="18"/>
      <c r="P65" s="19"/>
      <c r="Q65" s="25"/>
      <c r="R65" s="10"/>
      <c r="S65" s="19"/>
      <c r="T65" s="25"/>
      <c r="U65" s="25"/>
      <c r="V65" s="10"/>
      <c r="W65" s="10"/>
      <c r="X65" s="10"/>
      <c r="Y65" s="10"/>
      <c r="Z65" s="10"/>
      <c r="AA65" s="10"/>
      <c r="AB65" s="10"/>
    </row>
    <row r="66" spans="1:28" s="2" customFormat="1" hidden="1">
      <c r="A66" s="10"/>
      <c r="B66" s="10"/>
      <c r="C66" s="10"/>
      <c r="D66" s="10"/>
      <c r="E66" s="10"/>
      <c r="F66" s="10"/>
      <c r="G66" s="10"/>
      <c r="H66" s="10"/>
      <c r="I66" s="10"/>
      <c r="J66" s="10"/>
      <c r="K66" s="10"/>
      <c r="L66" s="10"/>
      <c r="M66" s="17"/>
      <c r="N66" s="18"/>
      <c r="O66" s="18"/>
      <c r="P66" s="19"/>
      <c r="Q66" s="25"/>
      <c r="R66" s="10"/>
      <c r="S66" s="19"/>
      <c r="T66" s="25"/>
      <c r="U66" s="25"/>
      <c r="V66" s="10"/>
      <c r="W66" s="10"/>
      <c r="X66" s="10"/>
      <c r="Y66" s="10"/>
      <c r="Z66" s="10"/>
      <c r="AA66" s="10"/>
      <c r="AB66" s="10"/>
    </row>
    <row r="67" spans="1:28" s="2" customFormat="1" hidden="1">
      <c r="A67" s="10"/>
      <c r="B67" s="10"/>
      <c r="C67" s="10"/>
      <c r="D67" s="10"/>
      <c r="E67" s="10"/>
      <c r="F67" s="10"/>
      <c r="G67" s="10"/>
      <c r="H67" s="10"/>
      <c r="I67" s="10"/>
      <c r="J67" s="10"/>
      <c r="K67" s="10"/>
      <c r="L67" s="10"/>
      <c r="M67" s="17"/>
      <c r="N67" s="18"/>
      <c r="O67" s="18"/>
      <c r="P67" s="19"/>
      <c r="Q67" s="25"/>
      <c r="R67" s="10"/>
      <c r="S67" s="19"/>
      <c r="T67" s="25"/>
      <c r="U67" s="25"/>
      <c r="V67" s="10"/>
      <c r="W67" s="10"/>
      <c r="X67" s="10"/>
      <c r="Y67" s="10"/>
      <c r="Z67" s="10"/>
      <c r="AA67" s="10"/>
      <c r="AB67" s="10"/>
    </row>
    <row r="68" spans="1:28" s="2" customFormat="1" hidden="1">
      <c r="A68" s="10"/>
      <c r="B68" s="10"/>
      <c r="C68" s="10"/>
      <c r="D68" s="10"/>
      <c r="E68" s="10"/>
      <c r="F68" s="10"/>
      <c r="G68" s="10"/>
      <c r="H68" s="10"/>
      <c r="I68" s="10"/>
      <c r="J68" s="10"/>
      <c r="K68" s="10"/>
      <c r="L68" s="10"/>
      <c r="M68" s="17"/>
      <c r="N68" s="18"/>
      <c r="O68" s="18"/>
      <c r="P68" s="19"/>
      <c r="Q68" s="25"/>
      <c r="R68" s="10"/>
      <c r="S68" s="19"/>
      <c r="T68" s="25"/>
      <c r="U68" s="25"/>
      <c r="V68" s="10"/>
      <c r="W68" s="10"/>
      <c r="X68" s="10"/>
      <c r="Y68" s="10"/>
      <c r="Z68" s="10"/>
      <c r="AA68" s="10"/>
      <c r="AB68" s="10"/>
    </row>
    <row r="69" spans="1:28" s="2" customFormat="1" hidden="1">
      <c r="A69" s="10"/>
      <c r="B69" s="10"/>
      <c r="C69" s="10"/>
      <c r="D69" s="10"/>
      <c r="E69" s="10"/>
      <c r="F69" s="10"/>
      <c r="G69" s="10"/>
      <c r="H69" s="10"/>
      <c r="I69" s="10"/>
      <c r="J69" s="10"/>
      <c r="K69" s="10"/>
      <c r="L69" s="10"/>
      <c r="M69" s="17"/>
      <c r="N69" s="18"/>
      <c r="O69" s="18"/>
      <c r="P69" s="19"/>
      <c r="Q69" s="25"/>
      <c r="R69" s="10"/>
      <c r="S69" s="19"/>
      <c r="T69" s="25"/>
      <c r="U69" s="25"/>
      <c r="V69" s="10"/>
      <c r="W69" s="10"/>
      <c r="X69" s="10"/>
      <c r="Y69" s="10"/>
      <c r="Z69" s="10"/>
      <c r="AA69" s="10"/>
      <c r="AB69" s="10"/>
    </row>
    <row r="70" spans="1:28" s="1" customFormat="1" ht="70">
      <c r="A70" s="9">
        <v>4</v>
      </c>
      <c r="B70" s="9" t="str">
        <f>B48</f>
        <v>四川赛狄信息技术股份公司</v>
      </c>
      <c r="C70" s="9" t="str">
        <f t="shared" ref="C70:G70" si="13">C48</f>
        <v>成都市市场监督管理局</v>
      </c>
      <c r="D70" s="9" t="str">
        <f t="shared" si="13"/>
        <v>9151000066028378XC</v>
      </c>
      <c r="E70" s="9" t="str">
        <f t="shared" si="13"/>
        <v>股份有限公司</v>
      </c>
      <c r="F70" s="9" t="str">
        <f t="shared" si="13"/>
        <v>高新区税务局</v>
      </c>
      <c r="G70" s="9" t="str">
        <f t="shared" si="13"/>
        <v>工商银行成都高新西部园区支行营业室</v>
      </c>
      <c r="H70" s="9" t="s">
        <v>130</v>
      </c>
      <c r="I70" s="9" t="s">
        <v>131</v>
      </c>
      <c r="J70" s="9" t="s">
        <v>137</v>
      </c>
      <c r="K70" s="9">
        <v>1000</v>
      </c>
      <c r="L70" s="9" t="s">
        <v>141</v>
      </c>
      <c r="M70" s="20" t="s">
        <v>142</v>
      </c>
      <c r="N70" s="16">
        <v>44922</v>
      </c>
      <c r="O70" s="16">
        <v>45287</v>
      </c>
      <c r="P70" s="9">
        <f>P75-N70</f>
        <v>365</v>
      </c>
      <c r="Q70" s="22">
        <f>SUM(Q71:Q91)</f>
        <v>42.45</v>
      </c>
      <c r="R70" s="9">
        <v>15</v>
      </c>
      <c r="S70" s="9"/>
      <c r="T70" s="9">
        <f>SUM(T71:T91)</f>
        <v>43.09</v>
      </c>
      <c r="U70" s="9">
        <v>4.25</v>
      </c>
      <c r="V70" s="16"/>
      <c r="W70" s="9" t="s">
        <v>143</v>
      </c>
      <c r="X70" s="24">
        <v>1.4999999999999999E-2</v>
      </c>
      <c r="Y70" s="9">
        <f>ROUNDUP(IF((O70-N70+1)*K70*X70/365&gt;R70,R70,(O70-N70+1)*K70*X70/365),2)</f>
        <v>15</v>
      </c>
      <c r="Z70" s="9">
        <f>R70-Y70</f>
        <v>0</v>
      </c>
      <c r="AA70" s="9"/>
      <c r="AB70" s="9" t="s">
        <v>61</v>
      </c>
    </row>
    <row r="71" spans="1:28" s="2" customFormat="1">
      <c r="A71" s="10"/>
      <c r="B71" s="10"/>
      <c r="C71" s="10"/>
      <c r="D71" s="10"/>
      <c r="E71" s="10"/>
      <c r="F71" s="10"/>
      <c r="G71" s="10"/>
      <c r="H71" s="10"/>
      <c r="I71" s="10"/>
      <c r="J71" s="10"/>
      <c r="K71" s="10"/>
      <c r="L71" s="10"/>
      <c r="M71" s="17"/>
      <c r="N71" s="18"/>
      <c r="O71" s="16">
        <v>45652</v>
      </c>
      <c r="P71" s="19">
        <v>45006</v>
      </c>
      <c r="Q71" s="25">
        <v>9.92</v>
      </c>
      <c r="R71" s="10"/>
      <c r="S71" s="19">
        <f>P71</f>
        <v>45006</v>
      </c>
      <c r="T71" s="25">
        <f>(S71-N70)/360*$U$48*$K$48</f>
        <v>9.92</v>
      </c>
      <c r="U71" s="25">
        <f>T71-Q71</f>
        <v>0</v>
      </c>
      <c r="V71" s="18">
        <v>45287</v>
      </c>
      <c r="W71" s="10">
        <v>100</v>
      </c>
      <c r="X71" s="10"/>
      <c r="Y71" s="29">
        <f>ROUNDDOWN((V71-N70)*K70*X70/365,2)</f>
        <v>15</v>
      </c>
      <c r="Z71" s="10"/>
      <c r="AA71" s="10"/>
      <c r="AB71" s="10"/>
    </row>
    <row r="72" spans="1:28" s="2" customFormat="1">
      <c r="A72" s="10"/>
      <c r="B72" s="10"/>
      <c r="C72" s="10"/>
      <c r="D72" s="10"/>
      <c r="E72" s="10"/>
      <c r="F72" s="10"/>
      <c r="G72" s="10"/>
      <c r="H72" s="10"/>
      <c r="I72" s="10"/>
      <c r="J72" s="10"/>
      <c r="K72" s="10"/>
      <c r="L72" s="10"/>
      <c r="M72" s="17"/>
      <c r="N72" s="18"/>
      <c r="O72" s="18"/>
      <c r="P72" s="19">
        <v>45098</v>
      </c>
      <c r="Q72" s="25">
        <v>10.86</v>
      </c>
      <c r="R72" s="10"/>
      <c r="S72" s="19">
        <f t="shared" ref="S72:S75" si="14">P72</f>
        <v>45098</v>
      </c>
      <c r="T72" s="25">
        <f>(S72-S71)*$U$48*$K$48/360</f>
        <v>10.86</v>
      </c>
      <c r="U72" s="25">
        <f t="shared" ref="U72:U113" si="15">T72-Q72</f>
        <v>0</v>
      </c>
      <c r="V72" s="10"/>
      <c r="W72" s="10"/>
      <c r="X72" s="10"/>
      <c r="Y72" s="29">
        <f>ROUNDDOWN((O70-V71+1)*(K70-W71)*X70/365,2)</f>
        <v>0.03</v>
      </c>
      <c r="Z72" s="10"/>
      <c r="AA72" s="10"/>
      <c r="AB72" s="10"/>
    </row>
    <row r="73" spans="1:28" s="2" customFormat="1">
      <c r="A73" s="10"/>
      <c r="B73" s="10"/>
      <c r="C73" s="10"/>
      <c r="D73" s="10"/>
      <c r="E73" s="10"/>
      <c r="F73" s="10"/>
      <c r="G73" s="10"/>
      <c r="H73" s="10"/>
      <c r="I73" s="10"/>
      <c r="J73" s="10"/>
      <c r="K73" s="10"/>
      <c r="L73" s="10"/>
      <c r="M73" s="17"/>
      <c r="N73" s="18"/>
      <c r="O73" s="18"/>
      <c r="P73" s="19">
        <v>45190</v>
      </c>
      <c r="Q73" s="25">
        <v>10.86</v>
      </c>
      <c r="R73" s="10"/>
      <c r="S73" s="19">
        <f t="shared" si="14"/>
        <v>45190</v>
      </c>
      <c r="T73" s="25">
        <f t="shared" ref="T73:T75" si="16">(S73-S72)*$U$48*$K$48/360</f>
        <v>10.86</v>
      </c>
      <c r="U73" s="25">
        <f t="shared" si="15"/>
        <v>0</v>
      </c>
      <c r="V73" s="10"/>
      <c r="W73" s="10"/>
      <c r="X73" s="10"/>
      <c r="Y73" s="10"/>
      <c r="Z73" s="10"/>
      <c r="AA73" s="10"/>
      <c r="AB73" s="10"/>
    </row>
    <row r="74" spans="1:28" s="2" customFormat="1">
      <c r="A74" s="10"/>
      <c r="B74" s="10"/>
      <c r="C74" s="10"/>
      <c r="D74" s="10"/>
      <c r="E74" s="10"/>
      <c r="F74" s="10"/>
      <c r="G74" s="10"/>
      <c r="H74" s="10"/>
      <c r="I74" s="10"/>
      <c r="J74" s="10"/>
      <c r="K74" s="10"/>
      <c r="L74" s="10"/>
      <c r="M74" s="17"/>
      <c r="N74" s="18"/>
      <c r="O74" s="18"/>
      <c r="P74" s="19">
        <v>45281</v>
      </c>
      <c r="Q74" s="25">
        <v>10.74</v>
      </c>
      <c r="R74" s="10"/>
      <c r="S74" s="19">
        <f t="shared" si="14"/>
        <v>45281</v>
      </c>
      <c r="T74" s="25">
        <f t="shared" si="16"/>
        <v>10.74</v>
      </c>
      <c r="U74" s="25">
        <f t="shared" si="15"/>
        <v>0</v>
      </c>
      <c r="V74" s="10"/>
      <c r="W74" s="10"/>
      <c r="X74" s="10"/>
      <c r="Y74" s="10"/>
      <c r="Z74" s="10"/>
      <c r="AA74" s="10"/>
      <c r="AB74" s="10"/>
    </row>
    <row r="75" spans="1:28" s="2" customFormat="1">
      <c r="A75" s="10"/>
      <c r="B75" s="10"/>
      <c r="C75" s="10"/>
      <c r="D75" s="10"/>
      <c r="E75" s="10"/>
      <c r="F75" s="10"/>
      <c r="G75" s="10"/>
      <c r="H75" s="10"/>
      <c r="I75" s="10"/>
      <c r="J75" s="10"/>
      <c r="K75" s="10"/>
      <c r="L75" s="10"/>
      <c r="M75" s="17"/>
      <c r="N75" s="18"/>
      <c r="O75" s="18"/>
      <c r="P75" s="19">
        <v>45287</v>
      </c>
      <c r="Q75" s="25">
        <v>7.0000000000000007E-2</v>
      </c>
      <c r="R75" s="10"/>
      <c r="S75" s="19">
        <f t="shared" si="14"/>
        <v>45287</v>
      </c>
      <c r="T75" s="25">
        <f t="shared" si="16"/>
        <v>0.71</v>
      </c>
      <c r="U75" s="25">
        <f t="shared" si="15"/>
        <v>0.64</v>
      </c>
      <c r="V75" s="10"/>
      <c r="W75" s="10"/>
      <c r="X75" s="10"/>
      <c r="Y75" s="10"/>
      <c r="Z75" s="10"/>
      <c r="AA75" s="10"/>
      <c r="AB75" s="10"/>
    </row>
    <row r="76" spans="1:28" s="2" customFormat="1" hidden="1">
      <c r="A76" s="10"/>
      <c r="B76" s="10"/>
      <c r="C76" s="10"/>
      <c r="D76" s="10"/>
      <c r="E76" s="10"/>
      <c r="F76" s="10"/>
      <c r="G76" s="10"/>
      <c r="H76" s="10"/>
      <c r="I76" s="10"/>
      <c r="J76" s="10"/>
      <c r="K76" s="10"/>
      <c r="L76" s="10"/>
      <c r="M76" s="17"/>
      <c r="N76" s="18"/>
      <c r="O76" s="18"/>
      <c r="P76" s="19"/>
      <c r="Q76" s="25"/>
      <c r="R76" s="10"/>
      <c r="S76" s="19"/>
      <c r="T76" s="25"/>
      <c r="U76" s="25">
        <f t="shared" si="15"/>
        <v>0</v>
      </c>
      <c r="V76" s="10"/>
      <c r="W76" s="10"/>
      <c r="X76" s="10"/>
      <c r="Y76" s="10"/>
      <c r="Z76" s="10"/>
      <c r="AA76" s="10"/>
      <c r="AB76" s="10"/>
    </row>
    <row r="77" spans="1:28" s="2" customFormat="1" hidden="1">
      <c r="A77" s="10"/>
      <c r="B77" s="10"/>
      <c r="C77" s="10"/>
      <c r="D77" s="10"/>
      <c r="E77" s="10"/>
      <c r="F77" s="10"/>
      <c r="G77" s="10"/>
      <c r="H77" s="10"/>
      <c r="I77" s="10"/>
      <c r="J77" s="10"/>
      <c r="K77" s="10"/>
      <c r="L77" s="10"/>
      <c r="M77" s="17"/>
      <c r="N77" s="18"/>
      <c r="O77" s="18"/>
      <c r="P77" s="19"/>
      <c r="Q77" s="25"/>
      <c r="R77" s="10"/>
      <c r="S77" s="19"/>
      <c r="T77" s="25"/>
      <c r="U77" s="25">
        <f t="shared" si="15"/>
        <v>0</v>
      </c>
      <c r="V77" s="10"/>
      <c r="W77" s="10"/>
      <c r="X77" s="10"/>
      <c r="Y77" s="10"/>
      <c r="Z77" s="10"/>
      <c r="AA77" s="10"/>
      <c r="AB77" s="10"/>
    </row>
    <row r="78" spans="1:28" s="2" customFormat="1" hidden="1">
      <c r="A78" s="10"/>
      <c r="B78" s="10"/>
      <c r="C78" s="10"/>
      <c r="D78" s="10"/>
      <c r="E78" s="10"/>
      <c r="F78" s="10"/>
      <c r="G78" s="10"/>
      <c r="H78" s="10"/>
      <c r="I78" s="10"/>
      <c r="J78" s="10"/>
      <c r="K78" s="10"/>
      <c r="L78" s="10"/>
      <c r="M78" s="17"/>
      <c r="N78" s="18"/>
      <c r="O78" s="18"/>
      <c r="P78" s="19"/>
      <c r="Q78" s="25"/>
      <c r="R78" s="10"/>
      <c r="S78" s="19"/>
      <c r="T78" s="25"/>
      <c r="U78" s="25">
        <f t="shared" si="15"/>
        <v>0</v>
      </c>
      <c r="V78" s="10"/>
      <c r="W78" s="10"/>
      <c r="X78" s="10"/>
      <c r="Y78" s="10"/>
      <c r="Z78" s="10"/>
      <c r="AA78" s="10"/>
      <c r="AB78" s="10"/>
    </row>
    <row r="79" spans="1:28" s="2" customFormat="1" hidden="1">
      <c r="A79" s="10"/>
      <c r="B79" s="10"/>
      <c r="C79" s="10"/>
      <c r="D79" s="10"/>
      <c r="E79" s="10"/>
      <c r="F79" s="10"/>
      <c r="G79" s="10"/>
      <c r="H79" s="10"/>
      <c r="I79" s="10"/>
      <c r="J79" s="10"/>
      <c r="K79" s="10"/>
      <c r="L79" s="10"/>
      <c r="M79" s="17"/>
      <c r="N79" s="18"/>
      <c r="O79" s="18"/>
      <c r="P79" s="19"/>
      <c r="Q79" s="25"/>
      <c r="R79" s="10"/>
      <c r="S79" s="19"/>
      <c r="T79" s="25"/>
      <c r="U79" s="25">
        <f t="shared" si="15"/>
        <v>0</v>
      </c>
      <c r="V79" s="10"/>
      <c r="W79" s="10"/>
      <c r="X79" s="10"/>
      <c r="Y79" s="10"/>
      <c r="Z79" s="10"/>
      <c r="AA79" s="10"/>
      <c r="AB79" s="10"/>
    </row>
    <row r="80" spans="1:28" s="2" customFormat="1" hidden="1">
      <c r="A80" s="10"/>
      <c r="B80" s="10"/>
      <c r="C80" s="10"/>
      <c r="D80" s="10"/>
      <c r="E80" s="10"/>
      <c r="F80" s="10"/>
      <c r="G80" s="10"/>
      <c r="H80" s="10"/>
      <c r="I80" s="10"/>
      <c r="J80" s="10"/>
      <c r="K80" s="10"/>
      <c r="L80" s="10"/>
      <c r="M80" s="17"/>
      <c r="N80" s="18"/>
      <c r="O80" s="18"/>
      <c r="P80" s="19"/>
      <c r="Q80" s="25"/>
      <c r="R80" s="10"/>
      <c r="S80" s="19"/>
      <c r="T80" s="25"/>
      <c r="U80" s="25">
        <f t="shared" si="15"/>
        <v>0</v>
      </c>
      <c r="V80" s="10"/>
      <c r="W80" s="10"/>
      <c r="X80" s="10"/>
      <c r="Y80" s="10"/>
      <c r="Z80" s="10"/>
      <c r="AA80" s="10"/>
      <c r="AB80" s="10"/>
    </row>
    <row r="81" spans="1:28" s="2" customFormat="1" hidden="1">
      <c r="A81" s="10"/>
      <c r="B81" s="10"/>
      <c r="C81" s="10"/>
      <c r="D81" s="10"/>
      <c r="E81" s="10"/>
      <c r="F81" s="10"/>
      <c r="G81" s="10"/>
      <c r="H81" s="10"/>
      <c r="I81" s="10"/>
      <c r="J81" s="10"/>
      <c r="K81" s="10"/>
      <c r="L81" s="10"/>
      <c r="M81" s="17"/>
      <c r="N81" s="18"/>
      <c r="O81" s="18"/>
      <c r="P81" s="19"/>
      <c r="Q81" s="25"/>
      <c r="R81" s="10"/>
      <c r="S81" s="19"/>
      <c r="T81" s="25"/>
      <c r="U81" s="25">
        <f t="shared" si="15"/>
        <v>0</v>
      </c>
      <c r="V81" s="10"/>
      <c r="W81" s="10"/>
      <c r="X81" s="10"/>
      <c r="Y81" s="10"/>
      <c r="Z81" s="10"/>
      <c r="AA81" s="10"/>
      <c r="AB81" s="10"/>
    </row>
    <row r="82" spans="1:28" s="2" customFormat="1" hidden="1">
      <c r="A82" s="10"/>
      <c r="B82" s="10"/>
      <c r="C82" s="10"/>
      <c r="D82" s="10"/>
      <c r="E82" s="10"/>
      <c r="F82" s="10"/>
      <c r="G82" s="10"/>
      <c r="H82" s="10"/>
      <c r="I82" s="10"/>
      <c r="J82" s="10"/>
      <c r="K82" s="10"/>
      <c r="L82" s="10"/>
      <c r="M82" s="17"/>
      <c r="N82" s="18"/>
      <c r="O82" s="18"/>
      <c r="P82" s="19"/>
      <c r="Q82" s="25"/>
      <c r="R82" s="10"/>
      <c r="S82" s="19"/>
      <c r="T82" s="25"/>
      <c r="U82" s="25">
        <f t="shared" si="15"/>
        <v>0</v>
      </c>
      <c r="V82" s="10"/>
      <c r="W82" s="10"/>
      <c r="X82" s="10"/>
      <c r="Y82" s="10"/>
      <c r="Z82" s="10"/>
      <c r="AA82" s="10"/>
      <c r="AB82" s="10"/>
    </row>
    <row r="83" spans="1:28" s="2" customFormat="1" hidden="1">
      <c r="A83" s="10"/>
      <c r="B83" s="10"/>
      <c r="C83" s="10"/>
      <c r="D83" s="10"/>
      <c r="E83" s="10"/>
      <c r="F83" s="10"/>
      <c r="G83" s="10"/>
      <c r="H83" s="10"/>
      <c r="I83" s="10"/>
      <c r="J83" s="10"/>
      <c r="K83" s="10"/>
      <c r="L83" s="10"/>
      <c r="M83" s="17"/>
      <c r="N83" s="18"/>
      <c r="O83" s="18"/>
      <c r="P83" s="19"/>
      <c r="Q83" s="25"/>
      <c r="R83" s="10"/>
      <c r="S83" s="19"/>
      <c r="T83" s="25"/>
      <c r="U83" s="25">
        <f t="shared" si="15"/>
        <v>0</v>
      </c>
      <c r="V83" s="10"/>
      <c r="W83" s="10"/>
      <c r="X83" s="10"/>
      <c r="Y83" s="10"/>
      <c r="Z83" s="10"/>
      <c r="AA83" s="10"/>
      <c r="AB83" s="10"/>
    </row>
    <row r="84" spans="1:28" s="2" customFormat="1" hidden="1">
      <c r="A84" s="10"/>
      <c r="B84" s="10"/>
      <c r="C84" s="10"/>
      <c r="D84" s="10"/>
      <c r="E84" s="10"/>
      <c r="F84" s="10"/>
      <c r="G84" s="10"/>
      <c r="H84" s="10"/>
      <c r="I84" s="10"/>
      <c r="J84" s="10"/>
      <c r="K84" s="10"/>
      <c r="L84" s="10"/>
      <c r="M84" s="17"/>
      <c r="N84" s="18"/>
      <c r="O84" s="18"/>
      <c r="P84" s="19"/>
      <c r="Q84" s="25"/>
      <c r="R84" s="10"/>
      <c r="S84" s="19"/>
      <c r="T84" s="25"/>
      <c r="U84" s="25">
        <f t="shared" si="15"/>
        <v>0</v>
      </c>
      <c r="V84" s="10"/>
      <c r="W84" s="10"/>
      <c r="X84" s="10"/>
      <c r="Y84" s="10"/>
      <c r="Z84" s="10"/>
      <c r="AA84" s="10"/>
      <c r="AB84" s="10"/>
    </row>
    <row r="85" spans="1:28" s="2" customFormat="1" hidden="1">
      <c r="A85" s="10"/>
      <c r="B85" s="10"/>
      <c r="C85" s="10"/>
      <c r="D85" s="10"/>
      <c r="E85" s="10"/>
      <c r="F85" s="10"/>
      <c r="G85" s="10"/>
      <c r="H85" s="10"/>
      <c r="I85" s="10"/>
      <c r="J85" s="10"/>
      <c r="K85" s="10"/>
      <c r="L85" s="10"/>
      <c r="M85" s="17"/>
      <c r="N85" s="18"/>
      <c r="O85" s="18"/>
      <c r="P85" s="19"/>
      <c r="Q85" s="25"/>
      <c r="R85" s="10"/>
      <c r="S85" s="19"/>
      <c r="T85" s="25"/>
      <c r="U85" s="25">
        <f t="shared" si="15"/>
        <v>0</v>
      </c>
      <c r="V85" s="10"/>
      <c r="W85" s="10"/>
      <c r="X85" s="10"/>
      <c r="Y85" s="10"/>
      <c r="Z85" s="10"/>
      <c r="AA85" s="10"/>
      <c r="AB85" s="10"/>
    </row>
    <row r="86" spans="1:28" s="2" customFormat="1" hidden="1">
      <c r="A86" s="10"/>
      <c r="B86" s="10"/>
      <c r="C86" s="10"/>
      <c r="D86" s="10"/>
      <c r="E86" s="10"/>
      <c r="F86" s="10"/>
      <c r="G86" s="10"/>
      <c r="H86" s="10"/>
      <c r="I86" s="10"/>
      <c r="J86" s="10"/>
      <c r="K86" s="10"/>
      <c r="L86" s="10"/>
      <c r="M86" s="17"/>
      <c r="N86" s="18"/>
      <c r="O86" s="18"/>
      <c r="P86" s="19"/>
      <c r="Q86" s="25"/>
      <c r="R86" s="10"/>
      <c r="S86" s="19"/>
      <c r="T86" s="25"/>
      <c r="U86" s="25">
        <f t="shared" si="15"/>
        <v>0</v>
      </c>
      <c r="V86" s="10"/>
      <c r="W86" s="10"/>
      <c r="X86" s="10"/>
      <c r="Y86" s="10"/>
      <c r="Z86" s="10"/>
      <c r="AA86" s="10"/>
      <c r="AB86" s="10"/>
    </row>
    <row r="87" spans="1:28" s="2" customFormat="1" hidden="1">
      <c r="A87" s="10"/>
      <c r="B87" s="10"/>
      <c r="C87" s="10"/>
      <c r="D87" s="10"/>
      <c r="E87" s="10"/>
      <c r="F87" s="10"/>
      <c r="G87" s="10"/>
      <c r="H87" s="10"/>
      <c r="I87" s="10"/>
      <c r="J87" s="10"/>
      <c r="K87" s="10"/>
      <c r="L87" s="10"/>
      <c r="M87" s="17"/>
      <c r="N87" s="18"/>
      <c r="O87" s="18"/>
      <c r="P87" s="19"/>
      <c r="Q87" s="25"/>
      <c r="R87" s="10"/>
      <c r="S87" s="19"/>
      <c r="T87" s="25"/>
      <c r="U87" s="25">
        <f t="shared" si="15"/>
        <v>0</v>
      </c>
      <c r="V87" s="10"/>
      <c r="W87" s="10"/>
      <c r="X87" s="10"/>
      <c r="Y87" s="10"/>
      <c r="Z87" s="10"/>
      <c r="AA87" s="10"/>
      <c r="AB87" s="10"/>
    </row>
    <row r="88" spans="1:28" s="2" customFormat="1" hidden="1">
      <c r="A88" s="10"/>
      <c r="B88" s="10"/>
      <c r="C88" s="10"/>
      <c r="D88" s="10"/>
      <c r="E88" s="10"/>
      <c r="F88" s="10"/>
      <c r="G88" s="10"/>
      <c r="H88" s="10"/>
      <c r="I88" s="10"/>
      <c r="J88" s="10"/>
      <c r="K88" s="10"/>
      <c r="L88" s="10"/>
      <c r="M88" s="17"/>
      <c r="N88" s="18"/>
      <c r="O88" s="18"/>
      <c r="P88" s="19"/>
      <c r="Q88" s="25"/>
      <c r="R88" s="10"/>
      <c r="S88" s="19"/>
      <c r="T88" s="25"/>
      <c r="U88" s="25">
        <f t="shared" si="15"/>
        <v>0</v>
      </c>
      <c r="V88" s="10"/>
      <c r="W88" s="10"/>
      <c r="X88" s="10"/>
      <c r="Y88" s="10"/>
      <c r="Z88" s="10"/>
      <c r="AA88" s="10"/>
      <c r="AB88" s="10"/>
    </row>
    <row r="89" spans="1:28" s="2" customFormat="1" hidden="1">
      <c r="A89" s="10"/>
      <c r="B89" s="10"/>
      <c r="C89" s="10"/>
      <c r="D89" s="10"/>
      <c r="E89" s="10"/>
      <c r="F89" s="10"/>
      <c r="G89" s="10"/>
      <c r="H89" s="10"/>
      <c r="I89" s="10"/>
      <c r="J89" s="10"/>
      <c r="K89" s="10"/>
      <c r="L89" s="10"/>
      <c r="M89" s="17"/>
      <c r="N89" s="18"/>
      <c r="O89" s="18"/>
      <c r="P89" s="19"/>
      <c r="Q89" s="25"/>
      <c r="R89" s="10"/>
      <c r="S89" s="19"/>
      <c r="T89" s="25"/>
      <c r="U89" s="25">
        <f t="shared" si="15"/>
        <v>0</v>
      </c>
      <c r="V89" s="10"/>
      <c r="W89" s="10"/>
      <c r="X89" s="10"/>
      <c r="Y89" s="10"/>
      <c r="Z89" s="10"/>
      <c r="AA89" s="10"/>
      <c r="AB89" s="10"/>
    </row>
    <row r="90" spans="1:28" s="2" customFormat="1" hidden="1">
      <c r="A90" s="10"/>
      <c r="B90" s="10"/>
      <c r="C90" s="10"/>
      <c r="D90" s="10"/>
      <c r="E90" s="10"/>
      <c r="F90" s="10"/>
      <c r="G90" s="10"/>
      <c r="H90" s="10"/>
      <c r="I90" s="10"/>
      <c r="J90" s="10"/>
      <c r="K90" s="10"/>
      <c r="L90" s="10"/>
      <c r="M90" s="17"/>
      <c r="N90" s="18"/>
      <c r="O90" s="18"/>
      <c r="P90" s="19"/>
      <c r="Q90" s="25"/>
      <c r="R90" s="10"/>
      <c r="S90" s="19"/>
      <c r="T90" s="25"/>
      <c r="U90" s="25">
        <f t="shared" si="15"/>
        <v>0</v>
      </c>
      <c r="V90" s="10"/>
      <c r="W90" s="10"/>
      <c r="X90" s="10"/>
      <c r="Y90" s="10"/>
      <c r="Z90" s="10"/>
      <c r="AA90" s="10"/>
      <c r="AB90" s="10"/>
    </row>
    <row r="91" spans="1:28" s="2" customFormat="1" hidden="1">
      <c r="A91" s="10"/>
      <c r="B91" s="10"/>
      <c r="C91" s="10"/>
      <c r="D91" s="10"/>
      <c r="E91" s="10"/>
      <c r="F91" s="10"/>
      <c r="G91" s="10"/>
      <c r="H91" s="10"/>
      <c r="I91" s="10"/>
      <c r="J91" s="10"/>
      <c r="K91" s="10"/>
      <c r="L91" s="10"/>
      <c r="M91" s="17"/>
      <c r="N91" s="18"/>
      <c r="O91" s="18"/>
      <c r="P91" s="19"/>
      <c r="Q91" s="25"/>
      <c r="R91" s="10"/>
      <c r="S91" s="19"/>
      <c r="T91" s="25"/>
      <c r="U91" s="25">
        <f t="shared" si="15"/>
        <v>0</v>
      </c>
      <c r="V91" s="10"/>
      <c r="W91" s="10"/>
      <c r="X91" s="10"/>
      <c r="Y91" s="10"/>
      <c r="Z91" s="10"/>
      <c r="AA91" s="10"/>
      <c r="AB91" s="10"/>
    </row>
    <row r="92" spans="1:28" s="1" customFormat="1" ht="70" hidden="1">
      <c r="A92" s="9">
        <v>5</v>
      </c>
      <c r="B92" s="9" t="str">
        <f>B70</f>
        <v>四川赛狄信息技术股份公司</v>
      </c>
      <c r="C92" s="9" t="str">
        <f t="shared" ref="C92:G92" si="17">C70</f>
        <v>成都市市场监督管理局</v>
      </c>
      <c r="D92" s="9" t="str">
        <f t="shared" si="17"/>
        <v>9151000066028378XC</v>
      </c>
      <c r="E92" s="9" t="str">
        <f t="shared" si="17"/>
        <v>股份有限公司</v>
      </c>
      <c r="F92" s="9" t="str">
        <f t="shared" si="17"/>
        <v>高新区税务局</v>
      </c>
      <c r="G92" s="9" t="str">
        <f t="shared" si="17"/>
        <v>工商银行成都高新西部园区支行营业室</v>
      </c>
      <c r="H92" s="9"/>
      <c r="I92" s="9"/>
      <c r="J92" s="9"/>
      <c r="K92" s="9"/>
      <c r="L92" s="9"/>
      <c r="M92" s="20"/>
      <c r="N92" s="16"/>
      <c r="O92" s="16"/>
      <c r="P92" s="9"/>
      <c r="Q92" s="22">
        <f>SUM(Q93:Q113)</f>
        <v>0</v>
      </c>
      <c r="R92" s="9"/>
      <c r="S92" s="9"/>
      <c r="T92" s="9">
        <f>SUM(T93:T113)</f>
        <v>0</v>
      </c>
      <c r="U92" s="25">
        <f t="shared" si="15"/>
        <v>0</v>
      </c>
      <c r="V92" s="16"/>
      <c r="W92" s="9"/>
      <c r="X92" s="31"/>
      <c r="Y92" s="9">
        <f>ROUNDUP(IF((O92-N92+1)*K92*X92/365&gt;R92,R92,(O92-N92+1)*K92*X92/365),2)</f>
        <v>0</v>
      </c>
      <c r="Z92" s="9"/>
      <c r="AA92" s="9"/>
      <c r="AB92" s="9"/>
    </row>
    <row r="93" spans="1:28" s="2" customFormat="1" hidden="1">
      <c r="A93" s="10"/>
      <c r="B93" s="10"/>
      <c r="C93" s="10"/>
      <c r="D93" s="10"/>
      <c r="E93" s="10"/>
      <c r="F93" s="10"/>
      <c r="G93" s="10"/>
      <c r="H93" s="10"/>
      <c r="I93" s="10"/>
      <c r="J93" s="10"/>
      <c r="K93" s="10"/>
      <c r="L93" s="10"/>
      <c r="M93" s="17"/>
      <c r="N93" s="18"/>
      <c r="O93" s="18"/>
      <c r="P93" s="19"/>
      <c r="Q93" s="25"/>
      <c r="R93" s="10"/>
      <c r="S93" s="19"/>
      <c r="T93" s="25"/>
      <c r="U93" s="25">
        <f t="shared" si="15"/>
        <v>0</v>
      </c>
      <c r="V93" s="18"/>
      <c r="W93" s="10"/>
      <c r="X93" s="10"/>
      <c r="Y93" s="10"/>
      <c r="Z93" s="10"/>
      <c r="AA93" s="10"/>
      <c r="AB93" s="10"/>
    </row>
    <row r="94" spans="1:28" s="2" customFormat="1" hidden="1">
      <c r="A94" s="10"/>
      <c r="B94" s="10"/>
      <c r="C94" s="10"/>
      <c r="D94" s="10"/>
      <c r="E94" s="10"/>
      <c r="F94" s="10"/>
      <c r="G94" s="10"/>
      <c r="H94" s="10"/>
      <c r="I94" s="10"/>
      <c r="J94" s="10"/>
      <c r="K94" s="10"/>
      <c r="L94" s="10"/>
      <c r="M94" s="17"/>
      <c r="N94" s="18"/>
      <c r="O94" s="18"/>
      <c r="P94" s="19"/>
      <c r="Q94" s="25"/>
      <c r="R94" s="10"/>
      <c r="S94" s="19"/>
      <c r="T94" s="25"/>
      <c r="U94" s="25">
        <f t="shared" si="15"/>
        <v>0</v>
      </c>
      <c r="V94" s="10"/>
      <c r="W94" s="10"/>
      <c r="X94" s="10"/>
      <c r="Y94" s="10"/>
      <c r="Z94" s="10"/>
      <c r="AA94" s="10"/>
      <c r="AB94" s="10"/>
    </row>
    <row r="95" spans="1:28" s="2" customFormat="1" hidden="1">
      <c r="A95" s="10"/>
      <c r="B95" s="10"/>
      <c r="C95" s="10"/>
      <c r="D95" s="10"/>
      <c r="E95" s="10"/>
      <c r="F95" s="10"/>
      <c r="G95" s="10"/>
      <c r="H95" s="10"/>
      <c r="I95" s="10"/>
      <c r="J95" s="10"/>
      <c r="K95" s="10"/>
      <c r="L95" s="10"/>
      <c r="M95" s="17"/>
      <c r="N95" s="18"/>
      <c r="O95" s="18"/>
      <c r="P95" s="19"/>
      <c r="Q95" s="25"/>
      <c r="R95" s="10"/>
      <c r="S95" s="19"/>
      <c r="T95" s="25"/>
      <c r="U95" s="25">
        <f t="shared" si="15"/>
        <v>0</v>
      </c>
      <c r="V95" s="10"/>
      <c r="W95" s="10"/>
      <c r="X95" s="10"/>
      <c r="Y95" s="10"/>
      <c r="Z95" s="10"/>
      <c r="AA95" s="10"/>
      <c r="AB95" s="10"/>
    </row>
    <row r="96" spans="1:28" s="2" customFormat="1" hidden="1">
      <c r="A96" s="10"/>
      <c r="B96" s="10"/>
      <c r="C96" s="10"/>
      <c r="D96" s="10"/>
      <c r="E96" s="10"/>
      <c r="F96" s="10"/>
      <c r="G96" s="10"/>
      <c r="H96" s="10"/>
      <c r="I96" s="10"/>
      <c r="J96" s="10"/>
      <c r="K96" s="10"/>
      <c r="L96" s="10"/>
      <c r="M96" s="17"/>
      <c r="N96" s="18"/>
      <c r="O96" s="18"/>
      <c r="P96" s="19"/>
      <c r="Q96" s="25"/>
      <c r="R96" s="10"/>
      <c r="S96" s="19"/>
      <c r="T96" s="25"/>
      <c r="U96" s="25">
        <f t="shared" si="15"/>
        <v>0</v>
      </c>
      <c r="V96" s="10"/>
      <c r="W96" s="10"/>
      <c r="X96" s="10"/>
      <c r="Y96" s="10"/>
      <c r="Z96" s="10"/>
      <c r="AA96" s="10"/>
      <c r="AB96" s="10"/>
    </row>
    <row r="97" spans="1:28" s="2" customFormat="1" hidden="1">
      <c r="A97" s="10"/>
      <c r="B97" s="10"/>
      <c r="C97" s="10"/>
      <c r="D97" s="10"/>
      <c r="E97" s="10"/>
      <c r="F97" s="10"/>
      <c r="G97" s="10"/>
      <c r="H97" s="10"/>
      <c r="I97" s="10"/>
      <c r="J97" s="10"/>
      <c r="K97" s="10"/>
      <c r="L97" s="10"/>
      <c r="M97" s="17"/>
      <c r="N97" s="18"/>
      <c r="O97" s="18"/>
      <c r="P97" s="19"/>
      <c r="Q97" s="25"/>
      <c r="R97" s="10"/>
      <c r="S97" s="19"/>
      <c r="T97" s="25"/>
      <c r="U97" s="25">
        <f t="shared" si="15"/>
        <v>0</v>
      </c>
      <c r="V97" s="10"/>
      <c r="W97" s="10"/>
      <c r="X97" s="10"/>
      <c r="Y97" s="10"/>
      <c r="Z97" s="10"/>
      <c r="AA97" s="10"/>
      <c r="AB97" s="10"/>
    </row>
    <row r="98" spans="1:28" s="2" customFormat="1" hidden="1">
      <c r="A98" s="10"/>
      <c r="B98" s="10"/>
      <c r="C98" s="10"/>
      <c r="D98" s="10"/>
      <c r="E98" s="10"/>
      <c r="F98" s="10"/>
      <c r="G98" s="10"/>
      <c r="H98" s="10"/>
      <c r="I98" s="10"/>
      <c r="J98" s="10"/>
      <c r="K98" s="10"/>
      <c r="L98" s="10"/>
      <c r="M98" s="17"/>
      <c r="N98" s="18"/>
      <c r="O98" s="18"/>
      <c r="P98" s="19"/>
      <c r="Q98" s="25"/>
      <c r="R98" s="10"/>
      <c r="S98" s="19"/>
      <c r="T98" s="25"/>
      <c r="U98" s="25">
        <f t="shared" si="15"/>
        <v>0</v>
      </c>
      <c r="V98" s="10"/>
      <c r="W98" s="10"/>
      <c r="X98" s="10"/>
      <c r="Y98" s="10"/>
      <c r="Z98" s="10"/>
      <c r="AA98" s="10"/>
      <c r="AB98" s="10"/>
    </row>
    <row r="99" spans="1:28" s="2" customFormat="1" hidden="1">
      <c r="A99" s="10"/>
      <c r="B99" s="10"/>
      <c r="C99" s="10"/>
      <c r="D99" s="10"/>
      <c r="E99" s="10"/>
      <c r="F99" s="10"/>
      <c r="G99" s="10"/>
      <c r="H99" s="10"/>
      <c r="I99" s="10"/>
      <c r="J99" s="10"/>
      <c r="K99" s="10"/>
      <c r="L99" s="10"/>
      <c r="M99" s="17"/>
      <c r="N99" s="18"/>
      <c r="O99" s="18"/>
      <c r="P99" s="19"/>
      <c r="Q99" s="25"/>
      <c r="R99" s="10"/>
      <c r="S99" s="19"/>
      <c r="T99" s="25"/>
      <c r="U99" s="25">
        <f t="shared" si="15"/>
        <v>0</v>
      </c>
      <c r="V99" s="10"/>
      <c r="W99" s="10"/>
      <c r="X99" s="10"/>
      <c r="Y99" s="10"/>
      <c r="Z99" s="10"/>
      <c r="AA99" s="10"/>
      <c r="AB99" s="10"/>
    </row>
    <row r="100" spans="1:28" s="2" customFormat="1" hidden="1">
      <c r="A100" s="10"/>
      <c r="B100" s="10"/>
      <c r="C100" s="10"/>
      <c r="D100" s="10"/>
      <c r="E100" s="10"/>
      <c r="F100" s="10"/>
      <c r="G100" s="10"/>
      <c r="H100" s="10"/>
      <c r="I100" s="10"/>
      <c r="J100" s="10"/>
      <c r="K100" s="10"/>
      <c r="L100" s="10"/>
      <c r="M100" s="17"/>
      <c r="N100" s="18"/>
      <c r="O100" s="18"/>
      <c r="P100" s="19"/>
      <c r="Q100" s="25"/>
      <c r="R100" s="10"/>
      <c r="S100" s="19"/>
      <c r="T100" s="25"/>
      <c r="U100" s="25">
        <f t="shared" si="15"/>
        <v>0</v>
      </c>
      <c r="V100" s="10"/>
      <c r="W100" s="10"/>
      <c r="X100" s="10"/>
      <c r="Y100" s="10"/>
      <c r="Z100" s="10"/>
      <c r="AA100" s="10"/>
      <c r="AB100" s="10"/>
    </row>
    <row r="101" spans="1:28" s="2" customFormat="1" hidden="1">
      <c r="A101" s="10"/>
      <c r="B101" s="10"/>
      <c r="C101" s="10"/>
      <c r="D101" s="10"/>
      <c r="E101" s="10"/>
      <c r="F101" s="10"/>
      <c r="G101" s="10"/>
      <c r="H101" s="10"/>
      <c r="I101" s="10"/>
      <c r="J101" s="10"/>
      <c r="K101" s="10"/>
      <c r="L101" s="10"/>
      <c r="M101" s="17"/>
      <c r="N101" s="18"/>
      <c r="O101" s="18"/>
      <c r="P101" s="19"/>
      <c r="Q101" s="25"/>
      <c r="R101" s="10"/>
      <c r="S101" s="19"/>
      <c r="T101" s="25"/>
      <c r="U101" s="25">
        <f t="shared" si="15"/>
        <v>0</v>
      </c>
      <c r="V101" s="10"/>
      <c r="W101" s="10"/>
      <c r="X101" s="10"/>
      <c r="Y101" s="10"/>
      <c r="Z101" s="10"/>
      <c r="AA101" s="10"/>
      <c r="AB101" s="10"/>
    </row>
    <row r="102" spans="1:28" s="2" customFormat="1" hidden="1">
      <c r="A102" s="10"/>
      <c r="B102" s="10"/>
      <c r="C102" s="10"/>
      <c r="D102" s="10"/>
      <c r="E102" s="10"/>
      <c r="F102" s="10"/>
      <c r="G102" s="10"/>
      <c r="H102" s="10"/>
      <c r="I102" s="10"/>
      <c r="J102" s="10"/>
      <c r="K102" s="10"/>
      <c r="L102" s="10"/>
      <c r="M102" s="17"/>
      <c r="N102" s="18"/>
      <c r="O102" s="18"/>
      <c r="P102" s="19"/>
      <c r="Q102" s="25"/>
      <c r="R102" s="10"/>
      <c r="S102" s="19"/>
      <c r="T102" s="25"/>
      <c r="U102" s="25">
        <f t="shared" si="15"/>
        <v>0</v>
      </c>
      <c r="V102" s="10"/>
      <c r="W102" s="10"/>
      <c r="X102" s="10"/>
      <c r="Y102" s="10"/>
      <c r="Z102" s="10"/>
      <c r="AA102" s="10"/>
      <c r="AB102" s="10"/>
    </row>
    <row r="103" spans="1:28" s="2" customFormat="1" hidden="1">
      <c r="A103" s="10"/>
      <c r="B103" s="10"/>
      <c r="C103" s="10"/>
      <c r="D103" s="10"/>
      <c r="E103" s="10"/>
      <c r="F103" s="10"/>
      <c r="G103" s="10"/>
      <c r="H103" s="10"/>
      <c r="I103" s="10"/>
      <c r="J103" s="10"/>
      <c r="K103" s="10"/>
      <c r="L103" s="10"/>
      <c r="M103" s="17"/>
      <c r="N103" s="18"/>
      <c r="O103" s="18"/>
      <c r="P103" s="19"/>
      <c r="Q103" s="25"/>
      <c r="R103" s="10"/>
      <c r="S103" s="19"/>
      <c r="T103" s="25"/>
      <c r="U103" s="25">
        <f t="shared" si="15"/>
        <v>0</v>
      </c>
      <c r="V103" s="10"/>
      <c r="W103" s="10"/>
      <c r="X103" s="10"/>
      <c r="Y103" s="10"/>
      <c r="Z103" s="10"/>
      <c r="AA103" s="10"/>
      <c r="AB103" s="10"/>
    </row>
    <row r="104" spans="1:28" s="2" customFormat="1" hidden="1">
      <c r="A104" s="10"/>
      <c r="B104" s="10"/>
      <c r="C104" s="10"/>
      <c r="D104" s="10"/>
      <c r="E104" s="10"/>
      <c r="F104" s="10"/>
      <c r="G104" s="10"/>
      <c r="H104" s="10"/>
      <c r="I104" s="10"/>
      <c r="J104" s="10"/>
      <c r="K104" s="10"/>
      <c r="L104" s="10"/>
      <c r="M104" s="17"/>
      <c r="N104" s="18"/>
      <c r="O104" s="18"/>
      <c r="P104" s="19"/>
      <c r="Q104" s="25"/>
      <c r="R104" s="10"/>
      <c r="S104" s="19"/>
      <c r="T104" s="25"/>
      <c r="U104" s="25">
        <f t="shared" si="15"/>
        <v>0</v>
      </c>
      <c r="V104" s="10"/>
      <c r="W104" s="10"/>
      <c r="X104" s="10"/>
      <c r="Y104" s="10"/>
      <c r="Z104" s="10"/>
      <c r="AA104" s="10"/>
      <c r="AB104" s="10"/>
    </row>
    <row r="105" spans="1:28" s="2" customFormat="1" hidden="1">
      <c r="A105" s="10"/>
      <c r="B105" s="10"/>
      <c r="C105" s="10"/>
      <c r="D105" s="10"/>
      <c r="E105" s="10"/>
      <c r="F105" s="10"/>
      <c r="G105" s="10"/>
      <c r="H105" s="10"/>
      <c r="I105" s="10"/>
      <c r="J105" s="10"/>
      <c r="K105" s="10"/>
      <c r="L105" s="10"/>
      <c r="M105" s="17"/>
      <c r="N105" s="18"/>
      <c r="O105" s="18"/>
      <c r="P105" s="19"/>
      <c r="Q105" s="25"/>
      <c r="R105" s="10"/>
      <c r="S105" s="19"/>
      <c r="T105" s="25"/>
      <c r="U105" s="25">
        <f t="shared" si="15"/>
        <v>0</v>
      </c>
      <c r="V105" s="10"/>
      <c r="W105" s="10"/>
      <c r="X105" s="10"/>
      <c r="Y105" s="10"/>
      <c r="Z105" s="10"/>
      <c r="AA105" s="10"/>
      <c r="AB105" s="10"/>
    </row>
    <row r="106" spans="1:28" s="2" customFormat="1" hidden="1">
      <c r="A106" s="10"/>
      <c r="B106" s="10"/>
      <c r="C106" s="10"/>
      <c r="D106" s="10"/>
      <c r="E106" s="10"/>
      <c r="F106" s="10"/>
      <c r="G106" s="10"/>
      <c r="H106" s="10"/>
      <c r="I106" s="10"/>
      <c r="J106" s="10"/>
      <c r="K106" s="10"/>
      <c r="L106" s="10"/>
      <c r="M106" s="17"/>
      <c r="N106" s="18"/>
      <c r="O106" s="18"/>
      <c r="P106" s="19"/>
      <c r="Q106" s="25"/>
      <c r="R106" s="10"/>
      <c r="S106" s="19"/>
      <c r="T106" s="25"/>
      <c r="U106" s="25">
        <f t="shared" si="15"/>
        <v>0</v>
      </c>
      <c r="V106" s="10"/>
      <c r="W106" s="10"/>
      <c r="X106" s="10"/>
      <c r="Y106" s="10"/>
      <c r="Z106" s="10"/>
      <c r="AA106" s="10"/>
      <c r="AB106" s="10"/>
    </row>
    <row r="107" spans="1:28" s="2" customFormat="1" hidden="1">
      <c r="A107" s="10"/>
      <c r="B107" s="10"/>
      <c r="C107" s="10"/>
      <c r="D107" s="10"/>
      <c r="E107" s="10"/>
      <c r="F107" s="10"/>
      <c r="G107" s="10"/>
      <c r="H107" s="10"/>
      <c r="I107" s="10"/>
      <c r="J107" s="10"/>
      <c r="K107" s="10"/>
      <c r="L107" s="10"/>
      <c r="M107" s="17"/>
      <c r="N107" s="18"/>
      <c r="O107" s="18"/>
      <c r="P107" s="19"/>
      <c r="Q107" s="25"/>
      <c r="R107" s="10"/>
      <c r="S107" s="19"/>
      <c r="T107" s="25"/>
      <c r="U107" s="25">
        <f t="shared" si="15"/>
        <v>0</v>
      </c>
      <c r="V107" s="10"/>
      <c r="W107" s="10"/>
      <c r="X107" s="10"/>
      <c r="Y107" s="10"/>
      <c r="Z107" s="10"/>
      <c r="AA107" s="10"/>
      <c r="AB107" s="10"/>
    </row>
    <row r="108" spans="1:28" s="2" customFormat="1" hidden="1">
      <c r="A108" s="10"/>
      <c r="B108" s="10"/>
      <c r="C108" s="10"/>
      <c r="D108" s="10"/>
      <c r="E108" s="10"/>
      <c r="F108" s="10"/>
      <c r="G108" s="10"/>
      <c r="H108" s="10"/>
      <c r="I108" s="10"/>
      <c r="J108" s="10"/>
      <c r="K108" s="10"/>
      <c r="L108" s="10"/>
      <c r="M108" s="17"/>
      <c r="N108" s="18"/>
      <c r="O108" s="18"/>
      <c r="P108" s="19"/>
      <c r="Q108" s="25"/>
      <c r="R108" s="10"/>
      <c r="S108" s="19"/>
      <c r="T108" s="25"/>
      <c r="U108" s="25">
        <f t="shared" si="15"/>
        <v>0</v>
      </c>
      <c r="V108" s="10"/>
      <c r="W108" s="10"/>
      <c r="X108" s="10"/>
      <c r="Y108" s="10"/>
      <c r="Z108" s="10"/>
      <c r="AA108" s="10"/>
      <c r="AB108" s="10"/>
    </row>
    <row r="109" spans="1:28" s="2" customFormat="1" hidden="1">
      <c r="A109" s="10"/>
      <c r="B109" s="10"/>
      <c r="C109" s="10"/>
      <c r="D109" s="10"/>
      <c r="E109" s="10"/>
      <c r="F109" s="10"/>
      <c r="G109" s="10"/>
      <c r="H109" s="10"/>
      <c r="I109" s="10"/>
      <c r="J109" s="10"/>
      <c r="K109" s="10"/>
      <c r="L109" s="10"/>
      <c r="M109" s="17"/>
      <c r="N109" s="18"/>
      <c r="O109" s="18"/>
      <c r="P109" s="19"/>
      <c r="Q109" s="25"/>
      <c r="R109" s="10"/>
      <c r="S109" s="19"/>
      <c r="T109" s="25"/>
      <c r="U109" s="25">
        <f t="shared" si="15"/>
        <v>0</v>
      </c>
      <c r="V109" s="10"/>
      <c r="W109" s="10"/>
      <c r="X109" s="10"/>
      <c r="Y109" s="10"/>
      <c r="Z109" s="10"/>
      <c r="AA109" s="10"/>
      <c r="AB109" s="10"/>
    </row>
    <row r="110" spans="1:28" s="2" customFormat="1" hidden="1">
      <c r="A110" s="10"/>
      <c r="B110" s="10"/>
      <c r="C110" s="10"/>
      <c r="D110" s="10"/>
      <c r="E110" s="10"/>
      <c r="F110" s="10"/>
      <c r="G110" s="10"/>
      <c r="H110" s="10"/>
      <c r="I110" s="10"/>
      <c r="J110" s="10"/>
      <c r="K110" s="10"/>
      <c r="L110" s="10"/>
      <c r="M110" s="17"/>
      <c r="N110" s="18"/>
      <c r="O110" s="18"/>
      <c r="P110" s="19"/>
      <c r="Q110" s="25"/>
      <c r="R110" s="10"/>
      <c r="S110" s="19"/>
      <c r="T110" s="25"/>
      <c r="U110" s="25">
        <f t="shared" si="15"/>
        <v>0</v>
      </c>
      <c r="V110" s="10"/>
      <c r="W110" s="10"/>
      <c r="X110" s="10"/>
      <c r="Y110" s="10"/>
      <c r="Z110" s="10"/>
      <c r="AA110" s="10"/>
      <c r="AB110" s="10"/>
    </row>
    <row r="111" spans="1:28" s="2" customFormat="1" hidden="1">
      <c r="A111" s="10"/>
      <c r="B111" s="10"/>
      <c r="C111" s="10"/>
      <c r="D111" s="10"/>
      <c r="E111" s="10"/>
      <c r="F111" s="10"/>
      <c r="G111" s="10"/>
      <c r="H111" s="10"/>
      <c r="I111" s="10"/>
      <c r="J111" s="10"/>
      <c r="K111" s="10"/>
      <c r="L111" s="10"/>
      <c r="M111" s="17"/>
      <c r="N111" s="18"/>
      <c r="O111" s="18"/>
      <c r="P111" s="19"/>
      <c r="Q111" s="25"/>
      <c r="R111" s="10"/>
      <c r="S111" s="19"/>
      <c r="T111" s="25"/>
      <c r="U111" s="25">
        <f t="shared" si="15"/>
        <v>0</v>
      </c>
      <c r="V111" s="10"/>
      <c r="W111" s="10"/>
      <c r="X111" s="10"/>
      <c r="Y111" s="10"/>
      <c r="Z111" s="10"/>
      <c r="AA111" s="10"/>
      <c r="AB111" s="10"/>
    </row>
    <row r="112" spans="1:28" s="2" customFormat="1" hidden="1">
      <c r="A112" s="10"/>
      <c r="B112" s="10"/>
      <c r="C112" s="10"/>
      <c r="D112" s="10"/>
      <c r="E112" s="10"/>
      <c r="F112" s="10"/>
      <c r="G112" s="10"/>
      <c r="H112" s="10"/>
      <c r="I112" s="10"/>
      <c r="J112" s="10"/>
      <c r="K112" s="10"/>
      <c r="L112" s="10"/>
      <c r="M112" s="17"/>
      <c r="N112" s="18"/>
      <c r="O112" s="18"/>
      <c r="P112" s="19"/>
      <c r="Q112" s="25"/>
      <c r="R112" s="10"/>
      <c r="S112" s="19"/>
      <c r="T112" s="25"/>
      <c r="U112" s="25">
        <f t="shared" si="15"/>
        <v>0</v>
      </c>
      <c r="V112" s="10"/>
      <c r="W112" s="10"/>
      <c r="X112" s="10"/>
      <c r="Y112" s="10"/>
      <c r="Z112" s="10"/>
      <c r="AA112" s="10"/>
      <c r="AB112" s="10"/>
    </row>
    <row r="113" spans="1:28" s="2" customFormat="1" hidden="1">
      <c r="A113" s="10"/>
      <c r="B113" s="10"/>
      <c r="C113" s="10"/>
      <c r="D113" s="10"/>
      <c r="E113" s="10"/>
      <c r="F113" s="10"/>
      <c r="G113" s="10"/>
      <c r="H113" s="10"/>
      <c r="I113" s="10"/>
      <c r="J113" s="10"/>
      <c r="K113" s="10"/>
      <c r="L113" s="10"/>
      <c r="M113" s="17"/>
      <c r="N113" s="18"/>
      <c r="O113" s="18"/>
      <c r="P113" s="19"/>
      <c r="Q113" s="25"/>
      <c r="R113" s="10"/>
      <c r="S113" s="19"/>
      <c r="T113" s="25"/>
      <c r="U113" s="25">
        <f t="shared" si="15"/>
        <v>0</v>
      </c>
      <c r="V113" s="10"/>
      <c r="W113" s="10"/>
      <c r="X113" s="10"/>
      <c r="Y113" s="10"/>
      <c r="Z113" s="10"/>
      <c r="AA113" s="10"/>
      <c r="AB113" s="10"/>
    </row>
    <row r="114" spans="1:28" s="1" customFormat="1">
      <c r="A114" s="9" t="s">
        <v>48</v>
      </c>
      <c r="B114" s="9"/>
      <c r="C114" s="9"/>
      <c r="D114" s="9"/>
      <c r="E114" s="9"/>
      <c r="F114" s="9"/>
      <c r="G114" s="9"/>
      <c r="H114" s="9"/>
      <c r="I114" s="9"/>
      <c r="J114" s="9"/>
      <c r="K114" s="9">
        <f>K92+K70+K48+K26++K4</f>
        <v>2998</v>
      </c>
      <c r="L114" s="9"/>
      <c r="M114" s="20"/>
      <c r="N114" s="16"/>
      <c r="O114" s="16"/>
      <c r="P114" s="9"/>
      <c r="Q114" s="9"/>
      <c r="R114" s="22">
        <f>R92+R70+R48+R26+R4</f>
        <v>46.31</v>
      </c>
      <c r="S114" s="9"/>
      <c r="T114" s="9"/>
      <c r="U114" s="9"/>
      <c r="V114" s="9"/>
      <c r="W114" s="9"/>
      <c r="X114" s="9"/>
      <c r="Y114" s="9">
        <f>Y92+Y70+Y48+Y26++Y4</f>
        <v>37.32</v>
      </c>
      <c r="Z114" s="9"/>
      <c r="AA114" s="9"/>
      <c r="AB114" s="9"/>
    </row>
    <row r="115" spans="1:28">
      <c r="I115" t="s">
        <v>49</v>
      </c>
      <c r="K115">
        <f>IF(K114&gt;3000,K116,K114)</f>
        <v>2998</v>
      </c>
    </row>
    <row r="116" spans="1:28">
      <c r="K11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D116"/>
  <sheetViews>
    <sheetView zoomScale="80" zoomScaleNormal="80" workbookViewId="0">
      <pane ySplit="3" topLeftCell="A4" activePane="bottomLeft" state="frozen"/>
      <selection pane="bottomLeft" activeCell="O29" sqref="O29"/>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成都汇道堂中药饮片有限责任公司审计明细表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625</v>
      </c>
      <c r="C4" s="43" t="s">
        <v>907</v>
      </c>
      <c r="D4" s="152" t="s">
        <v>936</v>
      </c>
      <c r="E4" s="71" t="s">
        <v>101</v>
      </c>
      <c r="F4" s="43" t="s">
        <v>901</v>
      </c>
      <c r="G4" s="43" t="s">
        <v>937</v>
      </c>
      <c r="H4" s="71" t="s">
        <v>925</v>
      </c>
      <c r="I4" s="43" t="s">
        <v>938</v>
      </c>
      <c r="J4" s="71" t="s">
        <v>73</v>
      </c>
      <c r="K4" s="71">
        <v>1000</v>
      </c>
      <c r="L4" s="43" t="s">
        <v>939</v>
      </c>
      <c r="M4" s="49" t="s">
        <v>940</v>
      </c>
      <c r="N4" s="68">
        <v>44650</v>
      </c>
      <c r="O4" s="50">
        <v>45000</v>
      </c>
      <c r="P4" s="43">
        <f>P16-N4</f>
        <v>350</v>
      </c>
      <c r="Q4" s="55">
        <f>SUM(Q5:Q25)</f>
        <v>39.880000000000003</v>
      </c>
      <c r="R4" s="55">
        <v>14.58</v>
      </c>
      <c r="S4" s="43"/>
      <c r="T4" s="55">
        <f>SUM(T5:T25)</f>
        <v>39.880000000000003</v>
      </c>
      <c r="U4" s="56">
        <v>4.1000000000000002E-2</v>
      </c>
      <c r="V4" s="50"/>
      <c r="W4" s="43" t="s">
        <v>941</v>
      </c>
      <c r="X4" s="77">
        <v>1.4999999999999999E-2</v>
      </c>
      <c r="Y4" s="43">
        <f>ROUNDDOWN(IF((O4-N4+1)*K4*X4/365&gt;R4,R4,(O4-N4+1)*K4*X4/365),2)</f>
        <v>14.42</v>
      </c>
      <c r="Z4" s="55">
        <f>R4-Y4</f>
        <v>0.16</v>
      </c>
      <c r="AA4" s="55" t="s">
        <v>108</v>
      </c>
      <c r="AB4" s="43" t="s">
        <v>61</v>
      </c>
      <c r="AD4" s="61">
        <f>(O4-N4+1)*K4*X4/365</f>
        <v>14.4247</v>
      </c>
    </row>
    <row r="5" spans="1:30" s="35" customFormat="1">
      <c r="A5" s="44"/>
      <c r="B5" s="44"/>
      <c r="C5" s="44"/>
      <c r="D5" s="44"/>
      <c r="E5" s="42"/>
      <c r="F5" s="44"/>
      <c r="G5" s="44"/>
      <c r="H5" s="42"/>
      <c r="I5" s="44"/>
      <c r="J5" s="42"/>
      <c r="K5" s="42"/>
      <c r="L5" s="44"/>
      <c r="M5" s="51"/>
      <c r="N5" s="52"/>
      <c r="O5" s="52"/>
      <c r="P5" s="75">
        <v>44672</v>
      </c>
      <c r="Q5" s="58">
        <v>2.5099999999999998</v>
      </c>
      <c r="R5" s="44"/>
      <c r="S5" s="75">
        <v>44672</v>
      </c>
      <c r="T5" s="58">
        <f>(S5-N4)/360*$U$4*$K$4</f>
        <v>2.5099999999999998</v>
      </c>
      <c r="U5" s="78">
        <f>T5-Q5</f>
        <v>0</v>
      </c>
      <c r="V5" s="52">
        <v>45000</v>
      </c>
      <c r="W5" s="58">
        <v>1000</v>
      </c>
      <c r="X5" s="42"/>
      <c r="Y5" s="44">
        <f>ROUNDDOWN((V5-N4)*K4*X4/365,2)</f>
        <v>14.38</v>
      </c>
      <c r="Z5" s="44"/>
      <c r="AA5" s="44"/>
      <c r="AB5" s="44"/>
    </row>
    <row r="6" spans="1:30" s="35" customFormat="1">
      <c r="A6" s="44"/>
      <c r="B6" s="44"/>
      <c r="C6" s="44"/>
      <c r="D6" s="44"/>
      <c r="E6" s="42"/>
      <c r="F6" s="44"/>
      <c r="G6" s="44"/>
      <c r="H6" s="42"/>
      <c r="I6" s="44"/>
      <c r="J6" s="42"/>
      <c r="K6" s="42"/>
      <c r="L6" s="44"/>
      <c r="M6" s="51"/>
      <c r="N6" s="52"/>
      <c r="O6" s="52"/>
      <c r="P6" s="75">
        <v>44702</v>
      </c>
      <c r="Q6" s="58">
        <v>3.42</v>
      </c>
      <c r="R6" s="44"/>
      <c r="S6" s="75">
        <v>44702</v>
      </c>
      <c r="T6" s="58">
        <f t="shared" ref="T6:T16" si="0">(S6-S5)*$K$4*$U$4/360</f>
        <v>3.42</v>
      </c>
      <c r="U6" s="78">
        <f t="shared" ref="U6:U16" si="1">T6-Q6</f>
        <v>0</v>
      </c>
      <c r="V6" s="75"/>
      <c r="W6" s="58"/>
      <c r="X6" s="42"/>
      <c r="Y6" s="44"/>
      <c r="Z6" s="44"/>
      <c r="AA6" s="44"/>
      <c r="AB6" s="44"/>
    </row>
    <row r="7" spans="1:30" s="35" customFormat="1">
      <c r="A7" s="44"/>
      <c r="B7" s="44"/>
      <c r="C7" s="44"/>
      <c r="D7" s="44"/>
      <c r="E7" s="42"/>
      <c r="F7" s="44"/>
      <c r="G7" s="44"/>
      <c r="H7" s="42"/>
      <c r="I7" s="44"/>
      <c r="J7" s="42"/>
      <c r="K7" s="42"/>
      <c r="L7" s="44"/>
      <c r="M7" s="51"/>
      <c r="N7" s="52"/>
      <c r="O7" s="52"/>
      <c r="P7" s="75">
        <v>44733</v>
      </c>
      <c r="Q7" s="58">
        <v>3.53</v>
      </c>
      <c r="R7" s="44"/>
      <c r="S7" s="75">
        <v>44733</v>
      </c>
      <c r="T7" s="58">
        <f t="shared" si="0"/>
        <v>3.53</v>
      </c>
      <c r="U7" s="78">
        <f t="shared" si="1"/>
        <v>0</v>
      </c>
      <c r="V7" s="75"/>
      <c r="W7" s="58"/>
      <c r="X7" s="42"/>
      <c r="Y7" s="44"/>
      <c r="Z7" s="44"/>
      <c r="AA7" s="44"/>
      <c r="AB7" s="44"/>
    </row>
    <row r="8" spans="1:30" s="35" customFormat="1">
      <c r="A8" s="44"/>
      <c r="B8" s="44"/>
      <c r="C8" s="44"/>
      <c r="D8" s="44"/>
      <c r="E8" s="42"/>
      <c r="F8" s="44"/>
      <c r="G8" s="44"/>
      <c r="H8" s="42"/>
      <c r="I8" s="44"/>
      <c r="J8" s="42"/>
      <c r="K8" s="42"/>
      <c r="L8" s="44"/>
      <c r="M8" s="51"/>
      <c r="N8" s="52"/>
      <c r="O8" s="52"/>
      <c r="P8" s="75">
        <v>44763</v>
      </c>
      <c r="Q8" s="58">
        <v>3.42</v>
      </c>
      <c r="R8" s="44"/>
      <c r="S8" s="75">
        <v>44763</v>
      </c>
      <c r="T8" s="58">
        <f t="shared" si="0"/>
        <v>3.42</v>
      </c>
      <c r="U8" s="78">
        <f t="shared" si="1"/>
        <v>0</v>
      </c>
      <c r="V8" s="75"/>
      <c r="W8" s="58"/>
      <c r="X8" s="42"/>
      <c r="Y8" s="44"/>
      <c r="Z8" s="44"/>
      <c r="AA8" s="44"/>
      <c r="AB8" s="44"/>
    </row>
    <row r="9" spans="1:30" s="35" customFormat="1">
      <c r="A9" s="44"/>
      <c r="B9" s="44"/>
      <c r="C9" s="44"/>
      <c r="D9" s="44"/>
      <c r="E9" s="42"/>
      <c r="F9" s="44"/>
      <c r="G9" s="44"/>
      <c r="H9" s="42"/>
      <c r="I9" s="44"/>
      <c r="J9" s="42"/>
      <c r="K9" s="42"/>
      <c r="L9" s="44"/>
      <c r="M9" s="51"/>
      <c r="N9" s="52"/>
      <c r="O9" s="52"/>
      <c r="P9" s="75">
        <v>44794</v>
      </c>
      <c r="Q9" s="58">
        <v>3.53</v>
      </c>
      <c r="R9" s="44"/>
      <c r="S9" s="75">
        <v>44794</v>
      </c>
      <c r="T9" s="58">
        <f t="shared" si="0"/>
        <v>3.53</v>
      </c>
      <c r="U9" s="78">
        <f t="shared" si="1"/>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44825</v>
      </c>
      <c r="Q10" s="58">
        <v>3.53</v>
      </c>
      <c r="R10" s="44"/>
      <c r="S10" s="75">
        <v>44825</v>
      </c>
      <c r="T10" s="58">
        <f t="shared" si="0"/>
        <v>3.53</v>
      </c>
      <c r="U10" s="78">
        <f t="shared" si="1"/>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44855</v>
      </c>
      <c r="Q11" s="58">
        <v>3.42</v>
      </c>
      <c r="R11" s="44"/>
      <c r="S11" s="75">
        <v>44855</v>
      </c>
      <c r="T11" s="58">
        <f t="shared" si="0"/>
        <v>3.42</v>
      </c>
      <c r="U11" s="78">
        <f t="shared" si="1"/>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44886</v>
      </c>
      <c r="Q12" s="58">
        <v>3.53</v>
      </c>
      <c r="R12" s="44"/>
      <c r="S12" s="75">
        <v>44886</v>
      </c>
      <c r="T12" s="58">
        <f t="shared" si="0"/>
        <v>3.53</v>
      </c>
      <c r="U12" s="78">
        <f t="shared" si="1"/>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44916</v>
      </c>
      <c r="Q13" s="58">
        <v>3.42</v>
      </c>
      <c r="R13" s="44"/>
      <c r="S13" s="75">
        <v>44916</v>
      </c>
      <c r="T13" s="58">
        <f t="shared" si="0"/>
        <v>3.42</v>
      </c>
      <c r="U13" s="78">
        <f t="shared" si="1"/>
        <v>0</v>
      </c>
      <c r="V13" s="75"/>
      <c r="W13" s="58"/>
      <c r="X13" s="42"/>
      <c r="Y13" s="44"/>
      <c r="Z13" s="44"/>
      <c r="AA13" s="44"/>
      <c r="AB13" s="44"/>
    </row>
    <row r="14" spans="1:30" s="35" customFormat="1">
      <c r="A14" s="44"/>
      <c r="B14" s="44"/>
      <c r="C14" s="44"/>
      <c r="D14" s="44"/>
      <c r="E14" s="42"/>
      <c r="F14" s="44"/>
      <c r="G14" s="44"/>
      <c r="H14" s="42"/>
      <c r="I14" s="44"/>
      <c r="J14" s="42"/>
      <c r="K14" s="42"/>
      <c r="L14" s="44"/>
      <c r="M14" s="51"/>
      <c r="N14" s="52"/>
      <c r="O14" s="52"/>
      <c r="P14" s="75">
        <v>44947</v>
      </c>
      <c r="Q14" s="58">
        <v>3.53</v>
      </c>
      <c r="R14" s="44"/>
      <c r="S14" s="75">
        <v>44947</v>
      </c>
      <c r="T14" s="58">
        <f t="shared" si="0"/>
        <v>3.53</v>
      </c>
      <c r="U14" s="78">
        <f t="shared" si="1"/>
        <v>0</v>
      </c>
      <c r="V14" s="75"/>
      <c r="W14" s="58"/>
      <c r="X14" s="42"/>
      <c r="Y14" s="44"/>
      <c r="Z14" s="44"/>
      <c r="AA14" s="44"/>
      <c r="AB14" s="44"/>
    </row>
    <row r="15" spans="1:30" s="35" customFormat="1">
      <c r="A15" s="44"/>
      <c r="B15" s="44"/>
      <c r="C15" s="44"/>
      <c r="D15" s="44"/>
      <c r="E15" s="42"/>
      <c r="F15" s="44"/>
      <c r="G15" s="44"/>
      <c r="H15" s="42"/>
      <c r="I15" s="44"/>
      <c r="J15" s="42"/>
      <c r="K15" s="42"/>
      <c r="L15" s="44"/>
      <c r="M15" s="51"/>
      <c r="N15" s="52"/>
      <c r="O15" s="52"/>
      <c r="P15" s="75">
        <v>44978</v>
      </c>
      <c r="Q15" s="58">
        <v>3.53</v>
      </c>
      <c r="R15" s="44"/>
      <c r="S15" s="75">
        <v>44978</v>
      </c>
      <c r="T15" s="58">
        <f t="shared" si="0"/>
        <v>3.53</v>
      </c>
      <c r="U15" s="78">
        <f t="shared" si="1"/>
        <v>0</v>
      </c>
      <c r="V15" s="44"/>
      <c r="W15" s="44"/>
      <c r="X15" s="42"/>
      <c r="Y15" s="44"/>
      <c r="Z15" s="44"/>
      <c r="AA15" s="44"/>
      <c r="AB15" s="44"/>
    </row>
    <row r="16" spans="1:30" s="35" customFormat="1">
      <c r="A16" s="44"/>
      <c r="B16" s="44"/>
      <c r="C16" s="44"/>
      <c r="D16" s="44"/>
      <c r="E16" s="42"/>
      <c r="F16" s="44"/>
      <c r="G16" s="44"/>
      <c r="H16" s="42"/>
      <c r="I16" s="44"/>
      <c r="J16" s="42"/>
      <c r="K16" s="42"/>
      <c r="L16" s="44"/>
      <c r="M16" s="51"/>
      <c r="N16" s="52"/>
      <c r="O16" s="52"/>
      <c r="P16" s="75">
        <v>45000</v>
      </c>
      <c r="Q16" s="110">
        <v>2.5099999999999998</v>
      </c>
      <c r="R16" s="44"/>
      <c r="S16" s="75">
        <v>45000</v>
      </c>
      <c r="T16" s="110">
        <f t="shared" si="0"/>
        <v>2.5099999999999998</v>
      </c>
      <c r="U16" s="111">
        <f t="shared" si="1"/>
        <v>0</v>
      </c>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customHeight="1">
      <c r="A26" s="43">
        <v>2</v>
      </c>
      <c r="B26" s="43" t="s">
        <v>625</v>
      </c>
      <c r="C26" s="43" t="s">
        <v>907</v>
      </c>
      <c r="D26" s="152" t="s">
        <v>936</v>
      </c>
      <c r="E26" s="71" t="s">
        <v>101</v>
      </c>
      <c r="F26" s="43" t="s">
        <v>901</v>
      </c>
      <c r="G26" s="43" t="s">
        <v>937</v>
      </c>
      <c r="H26" s="71" t="s">
        <v>925</v>
      </c>
      <c r="I26" s="43" t="s">
        <v>938</v>
      </c>
      <c r="J26" s="71" t="s">
        <v>73</v>
      </c>
      <c r="K26" s="71">
        <v>1000</v>
      </c>
      <c r="L26" s="43" t="s">
        <v>942</v>
      </c>
      <c r="M26" s="49" t="s">
        <v>943</v>
      </c>
      <c r="N26" s="50">
        <v>45102</v>
      </c>
      <c r="O26" s="50">
        <v>45291</v>
      </c>
      <c r="P26" s="43">
        <f>P32-N26</f>
        <v>179</v>
      </c>
      <c r="Q26" s="55">
        <f>SUM(Q27:Q32)</f>
        <v>19.399999999999999</v>
      </c>
      <c r="R26" s="55">
        <v>7.45</v>
      </c>
      <c r="S26" s="43"/>
      <c r="T26" s="43">
        <f>SUM(T27:T32)</f>
        <v>19.399999999999999</v>
      </c>
      <c r="U26" s="56">
        <v>3.9E-2</v>
      </c>
      <c r="V26" s="50"/>
      <c r="W26" s="43" t="s">
        <v>42</v>
      </c>
      <c r="X26" s="79">
        <v>1.4999999999999999E-2</v>
      </c>
      <c r="Y26" s="43">
        <f>ROUNDDOWN(IF((O26-N26+1)*K26*X26/365&gt;R26,R26,(O26-N26+1)*K26*X26/365),2)</f>
        <v>7.45</v>
      </c>
      <c r="Z26" s="95">
        <f>R26-Y26</f>
        <v>0</v>
      </c>
      <c r="AA26" s="43"/>
      <c r="AB26" s="43" t="s">
        <v>61</v>
      </c>
    </row>
    <row r="27" spans="1:28" s="35" customFormat="1">
      <c r="A27" s="44"/>
      <c r="B27" s="44"/>
      <c r="C27" s="44"/>
      <c r="D27" s="44"/>
      <c r="E27" s="42"/>
      <c r="F27" s="44"/>
      <c r="G27" s="44"/>
      <c r="H27" s="42"/>
      <c r="I27" s="44"/>
      <c r="J27" s="42"/>
      <c r="K27" s="42"/>
      <c r="L27" s="44"/>
      <c r="M27" s="51"/>
      <c r="N27" s="52"/>
      <c r="O27" s="50">
        <v>45467</v>
      </c>
      <c r="P27" s="75">
        <v>45128</v>
      </c>
      <c r="Q27" s="58">
        <v>2.82</v>
      </c>
      <c r="R27" s="75"/>
      <c r="S27" s="75">
        <v>45128</v>
      </c>
      <c r="T27" s="58">
        <f>(S27-N26)/360*$U$26*$K$26</f>
        <v>2.82</v>
      </c>
      <c r="U27" s="78">
        <f t="shared" ref="U27:U32" si="2">T27-Q27</f>
        <v>0</v>
      </c>
      <c r="V27" s="52"/>
      <c r="W27" s="44"/>
      <c r="X27" s="42"/>
      <c r="Y27" s="62">
        <f>ROUNDUP((V27-N26)*K26*X26/365,2)</f>
        <v>-1853.51</v>
      </c>
      <c r="Z27" s="44"/>
      <c r="AA27" s="44"/>
      <c r="AB27" s="44"/>
    </row>
    <row r="28" spans="1:28" s="35" customFormat="1">
      <c r="A28" s="44"/>
      <c r="B28" s="44"/>
      <c r="C28" s="44"/>
      <c r="D28" s="44"/>
      <c r="E28" s="42"/>
      <c r="F28" s="44"/>
      <c r="G28" s="44"/>
      <c r="H28" s="42"/>
      <c r="I28" s="44"/>
      <c r="J28" s="42"/>
      <c r="K28" s="42"/>
      <c r="L28" s="44"/>
      <c r="M28" s="51"/>
      <c r="N28" s="52"/>
      <c r="O28" s="52"/>
      <c r="P28" s="75">
        <v>45159</v>
      </c>
      <c r="Q28" s="58">
        <v>3.36</v>
      </c>
      <c r="R28" s="75"/>
      <c r="S28" s="75">
        <v>45159</v>
      </c>
      <c r="T28" s="58">
        <f t="shared" ref="T28:T32" si="3">(S28-S27)*$U$26*$K$26/360</f>
        <v>3.36</v>
      </c>
      <c r="U28" s="78">
        <f t="shared" si="2"/>
        <v>0</v>
      </c>
      <c r="V28" s="44"/>
      <c r="W28" s="44"/>
      <c r="X28" s="42"/>
      <c r="Y28" s="62">
        <f>ROUNDUP((O26-V27+1)*(K26-W27)*X26/365,2)</f>
        <v>1861.32</v>
      </c>
      <c r="Z28" s="44"/>
      <c r="AA28" s="44"/>
      <c r="AB28" s="44"/>
    </row>
    <row r="29" spans="1:28" s="35" customFormat="1">
      <c r="A29" s="44"/>
      <c r="B29" s="44"/>
      <c r="C29" s="44"/>
      <c r="D29" s="44"/>
      <c r="E29" s="42"/>
      <c r="F29" s="44"/>
      <c r="G29" s="44"/>
      <c r="H29" s="42"/>
      <c r="I29" s="44"/>
      <c r="J29" s="42"/>
      <c r="K29" s="42"/>
      <c r="L29" s="44"/>
      <c r="M29" s="51"/>
      <c r="N29" s="52"/>
      <c r="O29" s="52"/>
      <c r="P29" s="75">
        <v>45190</v>
      </c>
      <c r="Q29" s="58">
        <v>3.36</v>
      </c>
      <c r="R29" s="44"/>
      <c r="S29" s="75">
        <v>45190</v>
      </c>
      <c r="T29" s="58">
        <f t="shared" si="3"/>
        <v>3.36</v>
      </c>
      <c r="U29" s="78">
        <f t="shared" si="2"/>
        <v>0</v>
      </c>
      <c r="V29" s="44"/>
      <c r="W29" s="44"/>
      <c r="X29" s="42"/>
      <c r="Y29" s="44"/>
      <c r="Z29" s="44"/>
      <c r="AA29" s="44"/>
      <c r="AB29" s="44"/>
    </row>
    <row r="30" spans="1:28" s="35" customFormat="1">
      <c r="A30" s="44"/>
      <c r="B30" s="44"/>
      <c r="C30" s="44"/>
      <c r="D30" s="44"/>
      <c r="E30" s="42"/>
      <c r="F30" s="44"/>
      <c r="G30" s="44"/>
      <c r="H30" s="42"/>
      <c r="I30" s="44"/>
      <c r="J30" s="42"/>
      <c r="K30" s="42"/>
      <c r="L30" s="44"/>
      <c r="M30" s="51"/>
      <c r="N30" s="52"/>
      <c r="O30" s="52"/>
      <c r="P30" s="75">
        <v>45220</v>
      </c>
      <c r="Q30" s="58">
        <v>3.25</v>
      </c>
      <c r="R30" s="44"/>
      <c r="S30" s="75">
        <v>45220</v>
      </c>
      <c r="T30" s="58">
        <f t="shared" si="3"/>
        <v>3.25</v>
      </c>
      <c r="U30" s="78">
        <f t="shared" si="2"/>
        <v>0</v>
      </c>
      <c r="V30" s="44"/>
      <c r="W30" s="44"/>
      <c r="X30" s="42"/>
      <c r="Y30" s="44"/>
      <c r="Z30" s="44"/>
      <c r="AA30" s="44"/>
      <c r="AB30" s="44"/>
    </row>
    <row r="31" spans="1:28" s="35" customFormat="1">
      <c r="A31" s="44"/>
      <c r="B31" s="44"/>
      <c r="C31" s="44"/>
      <c r="D31" s="44"/>
      <c r="E31" s="42"/>
      <c r="F31" s="44"/>
      <c r="G31" s="44"/>
      <c r="H31" s="42"/>
      <c r="I31" s="44"/>
      <c r="J31" s="42"/>
      <c r="K31" s="42"/>
      <c r="L31" s="44"/>
      <c r="M31" s="51"/>
      <c r="N31" s="52"/>
      <c r="O31" s="52"/>
      <c r="P31" s="75">
        <v>45251</v>
      </c>
      <c r="Q31" s="58">
        <v>3.36</v>
      </c>
      <c r="R31" s="44"/>
      <c r="S31" s="75">
        <v>45251</v>
      </c>
      <c r="T31" s="58">
        <f t="shared" si="3"/>
        <v>3.36</v>
      </c>
      <c r="U31" s="78">
        <f t="shared" si="2"/>
        <v>0</v>
      </c>
      <c r="V31" s="44"/>
      <c r="W31" s="44"/>
      <c r="X31" s="42"/>
      <c r="Y31" s="44"/>
      <c r="Z31" s="44"/>
      <c r="AA31" s="44"/>
      <c r="AB31" s="44"/>
    </row>
    <row r="32" spans="1:28" s="35" customFormat="1">
      <c r="A32" s="44"/>
      <c r="B32" s="44"/>
      <c r="C32" s="44"/>
      <c r="D32" s="44"/>
      <c r="E32" s="42"/>
      <c r="F32" s="44"/>
      <c r="G32" s="44"/>
      <c r="H32" s="42"/>
      <c r="I32" s="44"/>
      <c r="J32" s="42"/>
      <c r="K32" s="42"/>
      <c r="L32" s="44"/>
      <c r="M32" s="51"/>
      <c r="N32" s="52"/>
      <c r="O32" s="52"/>
      <c r="P32" s="75">
        <v>45281</v>
      </c>
      <c r="Q32" s="58">
        <v>3.25</v>
      </c>
      <c r="R32" s="44"/>
      <c r="S32" s="75">
        <v>45281</v>
      </c>
      <c r="T32" s="58">
        <f t="shared" si="3"/>
        <v>3.25</v>
      </c>
      <c r="U32" s="78">
        <f t="shared" si="2"/>
        <v>0</v>
      </c>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4">B48</f>
        <v>0</v>
      </c>
      <c r="C70" s="43">
        <f t="shared" si="4"/>
        <v>0</v>
      </c>
      <c r="D70" s="43">
        <f t="shared" si="4"/>
        <v>0</v>
      </c>
      <c r="E70" s="71">
        <f t="shared" si="4"/>
        <v>0</v>
      </c>
      <c r="F70" s="43">
        <f t="shared" si="4"/>
        <v>0</v>
      </c>
      <c r="G70" s="43">
        <f t="shared" si="4"/>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5">B70</f>
        <v>0</v>
      </c>
      <c r="C92" s="43">
        <f t="shared" si="5"/>
        <v>0</v>
      </c>
      <c r="D92" s="43">
        <f t="shared" si="5"/>
        <v>0</v>
      </c>
      <c r="E92" s="71">
        <f t="shared" si="5"/>
        <v>0</v>
      </c>
      <c r="F92" s="43">
        <f t="shared" si="5"/>
        <v>0</v>
      </c>
      <c r="G92" s="43">
        <f t="shared" si="5"/>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2000</v>
      </c>
      <c r="L114" s="43"/>
      <c r="M114" s="49"/>
      <c r="N114" s="50"/>
      <c r="O114" s="50"/>
      <c r="P114" s="76"/>
      <c r="Q114" s="43"/>
      <c r="R114" s="43">
        <f>R92+R70+R48+R26++R4</f>
        <v>22.03</v>
      </c>
      <c r="S114" s="43"/>
      <c r="T114" s="43"/>
      <c r="U114" s="43"/>
      <c r="V114" s="43"/>
      <c r="W114" s="43"/>
      <c r="X114" s="71"/>
      <c r="Y114" s="43">
        <f>Y92+Y70+Y48+Y26++Y4</f>
        <v>21.87</v>
      </c>
      <c r="Z114" s="43"/>
      <c r="AA114" s="43"/>
      <c r="AB114" s="43"/>
    </row>
    <row r="115" spans="1:28">
      <c r="I115" s="36" t="s">
        <v>49</v>
      </c>
      <c r="K115" s="72">
        <f>IF(K114&gt;3000,K116,K114)</f>
        <v>2000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D116"/>
  <sheetViews>
    <sheetView topLeftCell="L1" zoomScale="90" zoomScaleNormal="90" workbookViewId="0">
      <pane ySplit="3" topLeftCell="A4" activePane="bottomLeft" state="frozen"/>
      <selection pane="bottomLeft" activeCell="N4" sqref="N4:AB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四川港通医疗设备集团股份有限公司审计明细表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37.25" customHeight="1">
      <c r="A4" s="43">
        <v>1</v>
      </c>
      <c r="B4" s="43" t="s">
        <v>699</v>
      </c>
      <c r="C4" s="43" t="s">
        <v>870</v>
      </c>
      <c r="D4" s="152" t="s">
        <v>944</v>
      </c>
      <c r="E4" s="71" t="s">
        <v>945</v>
      </c>
      <c r="F4" s="43" t="s">
        <v>946</v>
      </c>
      <c r="G4" s="43" t="s">
        <v>947</v>
      </c>
      <c r="H4" s="101" t="s">
        <v>71</v>
      </c>
      <c r="I4" s="43" t="s">
        <v>103</v>
      </c>
      <c r="J4" s="71" t="s">
        <v>58</v>
      </c>
      <c r="K4" s="71">
        <v>1000</v>
      </c>
      <c r="L4" s="43" t="s">
        <v>948</v>
      </c>
      <c r="M4" s="49" t="s">
        <v>949</v>
      </c>
      <c r="N4" s="50">
        <v>45016</v>
      </c>
      <c r="O4" s="50">
        <v>45291</v>
      </c>
      <c r="P4" s="43">
        <f>P13-N4</f>
        <v>265</v>
      </c>
      <c r="Q4" s="55">
        <f>SUM(Q5:Q25)</f>
        <v>25.02</v>
      </c>
      <c r="R4" s="55">
        <v>10.89</v>
      </c>
      <c r="S4" s="43"/>
      <c r="T4" s="55">
        <f>SUM(T5:T25)</f>
        <v>25.02</v>
      </c>
      <c r="U4" s="56">
        <v>3.4000000000000002E-2</v>
      </c>
      <c r="V4" s="50"/>
      <c r="W4" s="43" t="s">
        <v>42</v>
      </c>
      <c r="X4" s="77">
        <v>1.4999999999999999E-2</v>
      </c>
      <c r="Y4" s="43">
        <f>ROUNDDOWN(IF((O4-N4+1)*K4*X4/365&gt;R4,R4,(O4-N4+1)*K4*X4/365),2)</f>
        <v>10.89</v>
      </c>
      <c r="Z4" s="55">
        <f>R4-Y4</f>
        <v>0</v>
      </c>
      <c r="AA4" s="55"/>
      <c r="AB4" s="43" t="s">
        <v>61</v>
      </c>
      <c r="AD4" s="61">
        <f>(O4-N4+1)*K4*X4/365</f>
        <v>11.342499999999999</v>
      </c>
    </row>
    <row r="5" spans="1:30" s="35" customFormat="1" ht="98">
      <c r="A5" s="44"/>
      <c r="B5" s="44"/>
      <c r="C5" s="44"/>
      <c r="D5" s="44"/>
      <c r="E5" s="42"/>
      <c r="F5" s="44"/>
      <c r="G5" s="44"/>
      <c r="H5" s="42"/>
      <c r="I5" s="44"/>
      <c r="J5" s="42"/>
      <c r="K5" s="42"/>
      <c r="L5" s="44"/>
      <c r="M5" s="51" t="s">
        <v>950</v>
      </c>
      <c r="N5" s="52"/>
      <c r="O5" s="50">
        <v>45374</v>
      </c>
      <c r="P5" s="75">
        <v>45037</v>
      </c>
      <c r="Q5" s="58">
        <v>1.98</v>
      </c>
      <c r="R5" s="44"/>
      <c r="S5" s="75">
        <v>45037</v>
      </c>
      <c r="T5" s="58">
        <f>(S5-N4)/360*$U$4*$K$4</f>
        <v>1.98</v>
      </c>
      <c r="U5" s="78">
        <f t="shared" ref="U5:U13" si="0">T5-Q5</f>
        <v>0</v>
      </c>
      <c r="V5" s="52"/>
      <c r="W5" s="58"/>
      <c r="X5" s="42"/>
      <c r="Y5" s="44">
        <f>ROUNDDOWN((V5-N4)*K4*X4/365,2)</f>
        <v>-1849.97</v>
      </c>
      <c r="Z5" s="44"/>
      <c r="AA5" s="44"/>
      <c r="AB5" s="44"/>
    </row>
    <row r="6" spans="1:30" s="35" customFormat="1">
      <c r="A6" s="44"/>
      <c r="B6" s="44"/>
      <c r="C6" s="44"/>
      <c r="D6" s="44"/>
      <c r="E6" s="42"/>
      <c r="F6" s="44"/>
      <c r="G6" s="44"/>
      <c r="H6" s="42"/>
      <c r="I6" s="44"/>
      <c r="J6" s="42"/>
      <c r="K6" s="42"/>
      <c r="L6" s="44"/>
      <c r="M6" s="51"/>
      <c r="N6" s="52"/>
      <c r="O6" s="52"/>
      <c r="P6" s="75">
        <v>45067</v>
      </c>
      <c r="Q6" s="58">
        <v>2.83</v>
      </c>
      <c r="R6" s="44"/>
      <c r="S6" s="75">
        <v>45067</v>
      </c>
      <c r="T6" s="58">
        <f t="shared" ref="T6:T13" si="1">(S6-S5)*$K$4*$U$4/360</f>
        <v>2.83</v>
      </c>
      <c r="U6" s="78">
        <f t="shared" si="0"/>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45098</v>
      </c>
      <c r="Q7" s="58">
        <v>2.93</v>
      </c>
      <c r="R7" s="44"/>
      <c r="S7" s="75">
        <v>45098</v>
      </c>
      <c r="T7" s="58">
        <f t="shared" si="1"/>
        <v>2.93</v>
      </c>
      <c r="U7" s="78">
        <f t="shared" si="0"/>
        <v>0</v>
      </c>
      <c r="V7" s="75"/>
      <c r="W7" s="58"/>
      <c r="X7" s="42"/>
      <c r="Y7" s="44"/>
      <c r="Z7" s="44"/>
      <c r="AA7" s="44"/>
      <c r="AB7" s="44"/>
    </row>
    <row r="8" spans="1:30" s="35" customFormat="1">
      <c r="A8" s="44"/>
      <c r="B8" s="44"/>
      <c r="C8" s="44"/>
      <c r="D8" s="44"/>
      <c r="E8" s="42"/>
      <c r="F8" s="44"/>
      <c r="G8" s="44"/>
      <c r="H8" s="42"/>
      <c r="I8" s="44"/>
      <c r="J8" s="42"/>
      <c r="K8" s="42"/>
      <c r="L8" s="44"/>
      <c r="M8" s="51"/>
      <c r="N8" s="52"/>
      <c r="O8" s="52"/>
      <c r="P8" s="75">
        <v>45128</v>
      </c>
      <c r="Q8" s="58">
        <f>1.42+1.41</f>
        <v>2.83</v>
      </c>
      <c r="R8" s="44"/>
      <c r="S8" s="75">
        <v>45128</v>
      </c>
      <c r="T8" s="58">
        <f t="shared" si="1"/>
        <v>2.83</v>
      </c>
      <c r="U8" s="78">
        <f t="shared" si="0"/>
        <v>0</v>
      </c>
      <c r="V8" s="75"/>
      <c r="W8" s="58"/>
      <c r="X8" s="42"/>
      <c r="Y8" s="44"/>
      <c r="Z8" s="44"/>
      <c r="AA8" s="44"/>
      <c r="AB8" s="44"/>
    </row>
    <row r="9" spans="1:30" s="35" customFormat="1">
      <c r="A9" s="44"/>
      <c r="B9" s="44"/>
      <c r="C9" s="44"/>
      <c r="D9" s="44"/>
      <c r="E9" s="42"/>
      <c r="F9" s="44"/>
      <c r="G9" s="44"/>
      <c r="H9" s="42"/>
      <c r="I9" s="44"/>
      <c r="J9" s="42"/>
      <c r="K9" s="42"/>
      <c r="L9" s="44"/>
      <c r="M9" s="51"/>
      <c r="N9" s="52"/>
      <c r="O9" s="52"/>
      <c r="P9" s="75">
        <v>45159</v>
      </c>
      <c r="Q9" s="58">
        <v>2.93</v>
      </c>
      <c r="R9" s="44"/>
      <c r="S9" s="75">
        <v>45159</v>
      </c>
      <c r="T9" s="58">
        <f t="shared" si="1"/>
        <v>2.93</v>
      </c>
      <c r="U9" s="78">
        <f t="shared" si="0"/>
        <v>0</v>
      </c>
      <c r="V9" s="75"/>
      <c r="W9" s="58"/>
      <c r="X9" s="42"/>
      <c r="Y9" s="44"/>
      <c r="Z9" s="44"/>
      <c r="AA9" s="44"/>
      <c r="AB9" s="44"/>
    </row>
    <row r="10" spans="1:30" s="35" customFormat="1">
      <c r="A10" s="44"/>
      <c r="B10" s="44"/>
      <c r="C10" s="44"/>
      <c r="D10" s="44"/>
      <c r="E10" s="42"/>
      <c r="F10" s="44"/>
      <c r="G10" s="44"/>
      <c r="H10" s="42"/>
      <c r="I10" s="44"/>
      <c r="J10" s="42"/>
      <c r="K10" s="42"/>
      <c r="L10" s="44"/>
      <c r="M10" s="51"/>
      <c r="N10" s="52"/>
      <c r="O10" s="52"/>
      <c r="P10" s="75">
        <v>45190</v>
      </c>
      <c r="Q10" s="58">
        <v>2.93</v>
      </c>
      <c r="R10" s="44"/>
      <c r="S10" s="75">
        <v>45190</v>
      </c>
      <c r="T10" s="58">
        <f t="shared" si="1"/>
        <v>2.93</v>
      </c>
      <c r="U10" s="78">
        <f t="shared" si="0"/>
        <v>0</v>
      </c>
      <c r="V10" s="75"/>
      <c r="W10" s="58"/>
      <c r="X10" s="42"/>
      <c r="Y10" s="44"/>
      <c r="Z10" s="44"/>
      <c r="AA10" s="44"/>
      <c r="AB10" s="44"/>
    </row>
    <row r="11" spans="1:30" s="35" customFormat="1">
      <c r="A11" s="44"/>
      <c r="B11" s="44"/>
      <c r="C11" s="44"/>
      <c r="D11" s="44"/>
      <c r="E11" s="42"/>
      <c r="F11" s="44"/>
      <c r="G11" s="44"/>
      <c r="H11" s="42"/>
      <c r="I11" s="44"/>
      <c r="J11" s="42"/>
      <c r="K11" s="42"/>
      <c r="L11" s="44"/>
      <c r="M11" s="51"/>
      <c r="N11" s="52"/>
      <c r="O11" s="52"/>
      <c r="P11" s="75">
        <v>45220</v>
      </c>
      <c r="Q11" s="58">
        <v>2.83</v>
      </c>
      <c r="R11" s="44"/>
      <c r="S11" s="75">
        <v>45220</v>
      </c>
      <c r="T11" s="58">
        <f t="shared" si="1"/>
        <v>2.83</v>
      </c>
      <c r="U11" s="78">
        <f t="shared" si="0"/>
        <v>0</v>
      </c>
      <c r="V11" s="75"/>
      <c r="W11" s="58"/>
      <c r="X11" s="42"/>
      <c r="Y11" s="44"/>
      <c r="Z11" s="44"/>
      <c r="AA11" s="44"/>
      <c r="AB11" s="44"/>
    </row>
    <row r="12" spans="1:30" s="35" customFormat="1">
      <c r="A12" s="44"/>
      <c r="B12" s="44"/>
      <c r="C12" s="44"/>
      <c r="D12" s="44"/>
      <c r="E12" s="42"/>
      <c r="F12" s="44"/>
      <c r="G12" s="44"/>
      <c r="H12" s="42"/>
      <c r="I12" s="44"/>
      <c r="J12" s="42"/>
      <c r="K12" s="42"/>
      <c r="L12" s="44"/>
      <c r="M12" s="51"/>
      <c r="N12" s="52"/>
      <c r="O12" s="52"/>
      <c r="P12" s="75">
        <v>45251</v>
      </c>
      <c r="Q12" s="58">
        <v>2.93</v>
      </c>
      <c r="R12" s="44"/>
      <c r="S12" s="75">
        <v>45251</v>
      </c>
      <c r="T12" s="58">
        <f t="shared" si="1"/>
        <v>2.93</v>
      </c>
      <c r="U12" s="78">
        <f t="shared" si="0"/>
        <v>0</v>
      </c>
      <c r="V12" s="75"/>
      <c r="W12" s="58"/>
      <c r="X12" s="42"/>
      <c r="Y12" s="44"/>
      <c r="Z12" s="44"/>
      <c r="AA12" s="44"/>
      <c r="AB12" s="44"/>
    </row>
    <row r="13" spans="1:30" s="35" customFormat="1">
      <c r="A13" s="44"/>
      <c r="B13" s="44"/>
      <c r="C13" s="44"/>
      <c r="D13" s="44"/>
      <c r="E13" s="42"/>
      <c r="F13" s="44"/>
      <c r="G13" s="44"/>
      <c r="H13" s="42"/>
      <c r="I13" s="44"/>
      <c r="J13" s="42"/>
      <c r="K13" s="42"/>
      <c r="L13" s="44"/>
      <c r="M13" s="51"/>
      <c r="N13" s="52"/>
      <c r="O13" s="52"/>
      <c r="P13" s="75">
        <v>45281</v>
      </c>
      <c r="Q13" s="58">
        <v>2.83</v>
      </c>
      <c r="R13" s="44"/>
      <c r="S13" s="75">
        <v>45281</v>
      </c>
      <c r="T13" s="58">
        <f t="shared" si="1"/>
        <v>2.83</v>
      </c>
      <c r="U13" s="78">
        <f t="shared" si="0"/>
        <v>0</v>
      </c>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75"/>
      <c r="T14" s="58"/>
      <c r="U14" s="7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75"/>
      <c r="T15" s="58"/>
      <c r="U15" s="7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75"/>
      <c r="T16" s="58"/>
      <c r="U16" s="7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75"/>
      <c r="S17" s="75"/>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75"/>
      <c r="S18" s="75"/>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75"/>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75"/>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75"/>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75"/>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75"/>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75"/>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75"/>
      <c r="S25" s="53"/>
      <c r="T25" s="58"/>
      <c r="U25" s="58"/>
      <c r="V25" s="44"/>
      <c r="W25" s="44"/>
      <c r="X25" s="42"/>
      <c r="Y25" s="44"/>
      <c r="Z25" s="44"/>
      <c r="AA25" s="44"/>
      <c r="AB25" s="44"/>
    </row>
    <row r="26" spans="1:28" s="34" customFormat="1" ht="111" customHeight="1">
      <c r="A26" s="43">
        <v>2</v>
      </c>
      <c r="B26" s="43" t="s">
        <v>699</v>
      </c>
      <c r="C26" s="43" t="s">
        <v>870</v>
      </c>
      <c r="D26" s="152" t="s">
        <v>944</v>
      </c>
      <c r="E26" s="71" t="s">
        <v>945</v>
      </c>
      <c r="F26" s="43" t="s">
        <v>946</v>
      </c>
      <c r="G26" s="43" t="s">
        <v>947</v>
      </c>
      <c r="H26" s="101" t="s">
        <v>71</v>
      </c>
      <c r="I26" s="43" t="s">
        <v>951</v>
      </c>
      <c r="J26" s="71" t="s">
        <v>58</v>
      </c>
      <c r="K26" s="71">
        <v>400</v>
      </c>
      <c r="L26" s="43" t="s">
        <v>952</v>
      </c>
      <c r="M26" s="49" t="s">
        <v>953</v>
      </c>
      <c r="N26" s="50">
        <v>45243</v>
      </c>
      <c r="O26" s="50">
        <v>45291</v>
      </c>
      <c r="P26" s="43">
        <f>P28-N26</f>
        <v>38</v>
      </c>
      <c r="Q26" s="55">
        <f>SUM(Q27:Q32)</f>
        <v>1.48</v>
      </c>
      <c r="R26" s="55">
        <v>0.61</v>
      </c>
      <c r="S26" s="43"/>
      <c r="T26" s="43">
        <f>SUM(T27:T32)</f>
        <v>1.52</v>
      </c>
      <c r="U26" s="56">
        <v>3.5999999999999997E-2</v>
      </c>
      <c r="V26" s="50"/>
      <c r="W26" s="43" t="s">
        <v>42</v>
      </c>
      <c r="X26" s="79">
        <v>1.4999999999999999E-2</v>
      </c>
      <c r="Y26" s="43">
        <f>ROUNDDOWN(IF((O26-N26+1)*K26*X26/365&gt;R26,R26,(O26-N26+1)*K26*X26/365),2)</f>
        <v>0.61</v>
      </c>
      <c r="Z26" s="95">
        <f>R26-Y26</f>
        <v>0</v>
      </c>
      <c r="AA26" s="43"/>
      <c r="AB26" s="43" t="s">
        <v>61</v>
      </c>
    </row>
    <row r="27" spans="1:28" s="35" customFormat="1">
      <c r="A27" s="44"/>
      <c r="B27" s="44"/>
      <c r="C27" s="44"/>
      <c r="D27" s="44"/>
      <c r="E27" s="42"/>
      <c r="F27" s="44"/>
      <c r="G27" s="44"/>
      <c r="H27" s="42"/>
      <c r="I27" s="44"/>
      <c r="J27" s="42"/>
      <c r="K27" s="42"/>
      <c r="L27" s="44"/>
      <c r="M27" s="51"/>
      <c r="N27" s="52"/>
      <c r="O27" s="50">
        <v>45605</v>
      </c>
      <c r="P27" s="75">
        <v>45251</v>
      </c>
      <c r="Q27" s="58">
        <v>0.28000000000000003</v>
      </c>
      <c r="R27" s="75"/>
      <c r="S27" s="75">
        <v>45251</v>
      </c>
      <c r="T27" s="58">
        <f>(S27-N26)/360*$U$26*$K$26</f>
        <v>0.32</v>
      </c>
      <c r="U27" s="78">
        <f>T27-Q27</f>
        <v>0.04</v>
      </c>
      <c r="V27" s="52"/>
      <c r="W27" s="44"/>
      <c r="X27" s="42"/>
      <c r="Y27" s="62">
        <f>ROUNDUP((V27-N26)*K26*X26/365,2)</f>
        <v>-743.73</v>
      </c>
      <c r="Z27" s="44"/>
      <c r="AA27" s="44"/>
      <c r="AB27" s="44"/>
    </row>
    <row r="28" spans="1:28" s="35" customFormat="1">
      <c r="A28" s="44"/>
      <c r="B28" s="44"/>
      <c r="C28" s="44"/>
      <c r="D28" s="44"/>
      <c r="E28" s="42"/>
      <c r="F28" s="44"/>
      <c r="G28" s="44"/>
      <c r="H28" s="42"/>
      <c r="I28" s="44"/>
      <c r="J28" s="42"/>
      <c r="K28" s="42"/>
      <c r="L28" s="44"/>
      <c r="M28" s="51"/>
      <c r="N28" s="52"/>
      <c r="O28" s="52"/>
      <c r="P28" s="75">
        <v>45281</v>
      </c>
      <c r="Q28" s="58">
        <v>1.2</v>
      </c>
      <c r="R28" s="75"/>
      <c r="S28" s="75">
        <v>45281</v>
      </c>
      <c r="T28" s="58">
        <f>(S28-S27)*$U$26*$K$26/360</f>
        <v>1.2</v>
      </c>
      <c r="U28" s="78">
        <f>T28-Q28</f>
        <v>0</v>
      </c>
      <c r="V28" s="44"/>
      <c r="W28" s="44"/>
      <c r="X28" s="42"/>
      <c r="Y28" s="62">
        <f>ROUNDUP((O26-V27+1)*(K26-W27)*X26/365,2)</f>
        <v>744.53</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75"/>
      <c r="T29" s="58"/>
      <c r="U29" s="78"/>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75"/>
      <c r="T30" s="58"/>
      <c r="U30" s="78"/>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75"/>
      <c r="T31" s="58"/>
      <c r="U31" s="78"/>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75"/>
      <c r="T32" s="58"/>
      <c r="U32" s="7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idden="1">
      <c r="A48" s="43">
        <v>3</v>
      </c>
      <c r="B48" s="43"/>
      <c r="C48" s="43"/>
      <c r="D48" s="43"/>
      <c r="E48" s="71"/>
      <c r="F48" s="43"/>
      <c r="G48" s="43"/>
      <c r="H48" s="71"/>
      <c r="I48" s="43"/>
      <c r="J48" s="71"/>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c r="T49" s="58"/>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c r="T50" s="58"/>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2">B48</f>
        <v>0</v>
      </c>
      <c r="C70" s="43">
        <f t="shared" si="2"/>
        <v>0</v>
      </c>
      <c r="D70" s="43">
        <f t="shared" si="2"/>
        <v>0</v>
      </c>
      <c r="E70" s="71">
        <f t="shared" si="2"/>
        <v>0</v>
      </c>
      <c r="F70" s="43">
        <f t="shared" si="2"/>
        <v>0</v>
      </c>
      <c r="G70" s="43">
        <f t="shared" si="2"/>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3">B70</f>
        <v>0</v>
      </c>
      <c r="C92" s="43">
        <f t="shared" si="3"/>
        <v>0</v>
      </c>
      <c r="D92" s="43">
        <f t="shared" si="3"/>
        <v>0</v>
      </c>
      <c r="E92" s="71">
        <f t="shared" si="3"/>
        <v>0</v>
      </c>
      <c r="F92" s="43">
        <f t="shared" si="3"/>
        <v>0</v>
      </c>
      <c r="G92" s="43">
        <f t="shared" si="3"/>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1400</v>
      </c>
      <c r="L114" s="43"/>
      <c r="M114" s="49"/>
      <c r="N114" s="50"/>
      <c r="O114" s="50"/>
      <c r="P114" s="76"/>
      <c r="Q114" s="43"/>
      <c r="R114" s="43">
        <f>R92+R70+R48+R26++R4</f>
        <v>11.5</v>
      </c>
      <c r="S114" s="43"/>
      <c r="T114" s="43"/>
      <c r="U114" s="43"/>
      <c r="V114" s="43"/>
      <c r="W114" s="43"/>
      <c r="X114" s="71"/>
      <c r="Y114" s="43">
        <f>Y92+Y70+Y48+Y26++Y4</f>
        <v>11.5</v>
      </c>
      <c r="Z114" s="43"/>
      <c r="AA114" s="43"/>
      <c r="AB114" s="43"/>
    </row>
    <row r="115" spans="1:28">
      <c r="I115" s="36" t="s">
        <v>49</v>
      </c>
      <c r="K115" s="72">
        <f>IF(K114&gt;3000,K116,K114)</f>
        <v>1400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D116"/>
  <sheetViews>
    <sheetView zoomScale="80" zoomScaleNormal="80" workbookViewId="0">
      <pane ySplit="3" topLeftCell="A4" activePane="bottomLeft" state="frozen"/>
      <selection pane="bottomLeft" activeCell="M4" sqref="M4"/>
    </sheetView>
  </sheetViews>
  <sheetFormatPr defaultColWidth="9" defaultRowHeight="14"/>
  <cols>
    <col min="1" max="4" width="9" style="36"/>
    <col min="5" max="5" width="9" style="72"/>
    <col min="6"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3" width="9" style="36"/>
    <col min="24" max="24" width="9" style="72"/>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四川腾盾科技有限公司审计明细表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67"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42" customHeight="1">
      <c r="A3" s="169"/>
      <c r="B3" s="169"/>
      <c r="C3" s="170"/>
      <c r="D3" s="170"/>
      <c r="E3" s="170"/>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80" t="s">
        <v>28</v>
      </c>
      <c r="Z3" s="41" t="s">
        <v>29</v>
      </c>
      <c r="AA3" s="41" t="s">
        <v>30</v>
      </c>
      <c r="AB3" s="167"/>
      <c r="AC3" s="60"/>
    </row>
    <row r="4" spans="1:30" s="34" customFormat="1" ht="102" customHeight="1">
      <c r="A4" s="43">
        <v>1</v>
      </c>
      <c r="B4" s="43" t="s">
        <v>724</v>
      </c>
      <c r="C4" s="43" t="s">
        <v>954</v>
      </c>
      <c r="D4" s="43" t="s">
        <v>955</v>
      </c>
      <c r="E4" s="71" t="s">
        <v>101</v>
      </c>
      <c r="F4" s="43" t="s">
        <v>956</v>
      </c>
      <c r="G4" s="43" t="s">
        <v>957</v>
      </c>
      <c r="H4" s="71" t="s">
        <v>958</v>
      </c>
      <c r="I4" s="43" t="s">
        <v>80</v>
      </c>
      <c r="J4" s="71" t="s">
        <v>58</v>
      </c>
      <c r="K4" s="71">
        <v>3000</v>
      </c>
      <c r="L4" s="43" t="s">
        <v>959</v>
      </c>
      <c r="M4" s="49" t="s">
        <v>960</v>
      </c>
      <c r="N4" s="50">
        <v>44880</v>
      </c>
      <c r="O4" s="50">
        <v>45222</v>
      </c>
      <c r="P4" s="43">
        <f>P8-N4</f>
        <v>342</v>
      </c>
      <c r="Q4" s="55">
        <f>SUM(Q5:Q25)</f>
        <v>77.09</v>
      </c>
      <c r="R4" s="55">
        <v>60</v>
      </c>
      <c r="S4" s="43"/>
      <c r="T4" s="55">
        <f>SUM(T5:T25)</f>
        <v>105.45</v>
      </c>
      <c r="U4" s="56">
        <v>3.6999999999999998E-2</v>
      </c>
      <c r="V4" s="50"/>
      <c r="W4" s="43" t="s">
        <v>961</v>
      </c>
      <c r="X4" s="77">
        <v>0.02</v>
      </c>
      <c r="Y4" s="43">
        <f>ROUNDDOWN(IF((O4-N4+1)*K4*X4/365&gt;R4,R4,(O4-N4+1)*K4*X4/365),2)</f>
        <v>56.38</v>
      </c>
      <c r="Z4" s="55">
        <f>R4-Y4</f>
        <v>3.62</v>
      </c>
      <c r="AA4" s="55" t="s">
        <v>108</v>
      </c>
      <c r="AB4" s="43" t="s">
        <v>61</v>
      </c>
      <c r="AD4" s="61">
        <f>(O4-N4+1)*K4*X4/365</f>
        <v>56.383600000000001</v>
      </c>
    </row>
    <row r="5" spans="1:30" s="35" customFormat="1">
      <c r="A5" s="44"/>
      <c r="B5" s="44"/>
      <c r="C5" s="44"/>
      <c r="D5" s="44"/>
      <c r="E5" s="42"/>
      <c r="F5" s="44"/>
      <c r="G5" s="44"/>
      <c r="H5" s="42"/>
      <c r="I5" s="44"/>
      <c r="J5" s="42"/>
      <c r="K5" s="42"/>
      <c r="L5" s="44"/>
      <c r="M5" s="51"/>
      <c r="N5" s="52"/>
      <c r="O5" s="52"/>
      <c r="P5" s="75">
        <v>44917</v>
      </c>
      <c r="Q5" s="58">
        <v>11.1</v>
      </c>
      <c r="R5" s="44"/>
      <c r="S5" s="53">
        <f>P5</f>
        <v>44917</v>
      </c>
      <c r="T5" s="58">
        <f>(S5-N4)/360*$U$4*$K$4</f>
        <v>11.41</v>
      </c>
      <c r="U5" s="58">
        <f>T5-Q5</f>
        <v>0.31</v>
      </c>
      <c r="V5" s="52">
        <v>45222</v>
      </c>
      <c r="W5" s="58">
        <v>3000</v>
      </c>
      <c r="X5" s="42"/>
      <c r="Y5" s="44">
        <f>ROUNDDOWN((V5-N4)*K4*X4/365,2)</f>
        <v>56.21</v>
      </c>
      <c r="Z5" s="44"/>
      <c r="AA5" s="44"/>
      <c r="AB5" s="44"/>
    </row>
    <row r="6" spans="1:30" s="35" customFormat="1">
      <c r="A6" s="44"/>
      <c r="B6" s="44"/>
      <c r="C6" s="44"/>
      <c r="D6" s="44"/>
      <c r="E6" s="42"/>
      <c r="F6" s="44"/>
      <c r="G6" s="44"/>
      <c r="H6" s="42"/>
      <c r="I6" s="44"/>
      <c r="J6" s="42"/>
      <c r="K6" s="42"/>
      <c r="L6" s="44"/>
      <c r="M6" s="51"/>
      <c r="N6" s="52"/>
      <c r="O6" s="52"/>
      <c r="P6" s="75">
        <v>45007</v>
      </c>
      <c r="Q6" s="58">
        <v>27.75</v>
      </c>
      <c r="R6" s="44"/>
      <c r="S6" s="53">
        <f>P6</f>
        <v>45007</v>
      </c>
      <c r="T6" s="58">
        <f>(S6-S5)*$K$4*$U$4/360</f>
        <v>27.75</v>
      </c>
      <c r="U6" s="78">
        <f>T6-Q6</f>
        <v>0</v>
      </c>
      <c r="V6" s="75"/>
      <c r="W6" s="58"/>
      <c r="X6" s="42"/>
      <c r="Y6" s="44"/>
      <c r="Z6" s="44"/>
      <c r="AA6" s="44"/>
      <c r="AB6" s="44"/>
    </row>
    <row r="7" spans="1:30" s="35" customFormat="1">
      <c r="A7" s="44"/>
      <c r="B7" s="44"/>
      <c r="C7" s="44"/>
      <c r="D7" s="44"/>
      <c r="E7" s="42"/>
      <c r="F7" s="44"/>
      <c r="G7" s="44"/>
      <c r="H7" s="42"/>
      <c r="I7" s="44"/>
      <c r="J7" s="42"/>
      <c r="K7" s="42"/>
      <c r="L7" s="44"/>
      <c r="M7" s="51"/>
      <c r="N7" s="52"/>
      <c r="O7" s="52"/>
      <c r="P7" s="75">
        <v>45102</v>
      </c>
      <c r="Q7" s="58">
        <v>28.37</v>
      </c>
      <c r="R7" s="44"/>
      <c r="S7" s="53">
        <f>P7</f>
        <v>45102</v>
      </c>
      <c r="T7" s="58">
        <f>(S7-S6)*$K$4*$U$4/360</f>
        <v>29.29</v>
      </c>
      <c r="U7" s="58">
        <f>T7-Q7</f>
        <v>0.92</v>
      </c>
      <c r="V7" s="75"/>
      <c r="W7" s="58"/>
      <c r="X7" s="42"/>
      <c r="Y7" s="44"/>
      <c r="Z7" s="44"/>
      <c r="AA7" s="44"/>
      <c r="AB7" s="44"/>
    </row>
    <row r="8" spans="1:30" s="35" customFormat="1">
      <c r="A8" s="44"/>
      <c r="B8" s="44"/>
      <c r="C8" s="44"/>
      <c r="D8" s="44"/>
      <c r="E8" s="42"/>
      <c r="F8" s="44"/>
      <c r="G8" s="44"/>
      <c r="H8" s="42"/>
      <c r="I8" s="44"/>
      <c r="J8" s="42"/>
      <c r="K8" s="42"/>
      <c r="L8" s="44"/>
      <c r="M8" s="51"/>
      <c r="N8" s="52"/>
      <c r="O8" s="52"/>
      <c r="P8" s="75">
        <v>45222</v>
      </c>
      <c r="Q8" s="58">
        <v>9.8699999999999992</v>
      </c>
      <c r="R8" s="44"/>
      <c r="S8" s="53">
        <f>P8</f>
        <v>45222</v>
      </c>
      <c r="T8" s="58">
        <f>(S8-S7)*$K$4*$U$4/360</f>
        <v>37</v>
      </c>
      <c r="U8" s="58">
        <f>T8-Q8</f>
        <v>27.13</v>
      </c>
      <c r="V8" s="75"/>
      <c r="W8" s="58"/>
      <c r="X8" s="42"/>
      <c r="Y8" s="44"/>
      <c r="Z8" s="44"/>
      <c r="AA8" s="44"/>
      <c r="AB8" s="44"/>
    </row>
    <row r="9" spans="1:30" s="35" customFormat="1" hidden="1">
      <c r="A9" s="44"/>
      <c r="B9" s="44"/>
      <c r="C9" s="44"/>
      <c r="D9" s="44"/>
      <c r="E9" s="42"/>
      <c r="F9" s="44"/>
      <c r="G9" s="44"/>
      <c r="H9" s="42"/>
      <c r="I9" s="44"/>
      <c r="J9" s="42"/>
      <c r="K9" s="42"/>
      <c r="L9" s="44"/>
      <c r="M9" s="51"/>
      <c r="N9" s="52"/>
      <c r="O9" s="52"/>
      <c r="P9" s="75"/>
      <c r="Q9" s="58"/>
      <c r="R9" s="44"/>
      <c r="S9" s="53"/>
      <c r="T9" s="58"/>
      <c r="U9" s="58"/>
      <c r="V9" s="75"/>
      <c r="W9" s="58"/>
      <c r="X9" s="42"/>
      <c r="Y9" s="44"/>
      <c r="Z9" s="44"/>
      <c r="AA9" s="44"/>
      <c r="AB9" s="44"/>
    </row>
    <row r="10" spans="1:30" s="35" customFormat="1" hidden="1">
      <c r="A10" s="44"/>
      <c r="B10" s="44"/>
      <c r="C10" s="44"/>
      <c r="D10" s="44"/>
      <c r="E10" s="42"/>
      <c r="F10" s="44"/>
      <c r="G10" s="44"/>
      <c r="H10" s="42"/>
      <c r="I10" s="44"/>
      <c r="J10" s="42"/>
      <c r="K10" s="42"/>
      <c r="L10" s="44"/>
      <c r="M10" s="51"/>
      <c r="N10" s="52"/>
      <c r="O10" s="52"/>
      <c r="P10" s="75"/>
      <c r="Q10" s="58"/>
      <c r="R10" s="44"/>
      <c r="S10" s="53"/>
      <c r="T10" s="58"/>
      <c r="U10" s="58"/>
      <c r="V10" s="75"/>
      <c r="W10" s="58"/>
      <c r="X10" s="42"/>
      <c r="Y10" s="44"/>
      <c r="Z10" s="44"/>
      <c r="AA10" s="44"/>
      <c r="AB10" s="44"/>
    </row>
    <row r="11" spans="1:30" s="35" customFormat="1" hidden="1">
      <c r="A11" s="44"/>
      <c r="B11" s="44"/>
      <c r="C11" s="44"/>
      <c r="D11" s="44"/>
      <c r="E11" s="42"/>
      <c r="F11" s="44"/>
      <c r="G11" s="44"/>
      <c r="H11" s="42"/>
      <c r="I11" s="44"/>
      <c r="J11" s="42"/>
      <c r="K11" s="42"/>
      <c r="L11" s="44"/>
      <c r="M11" s="51"/>
      <c r="N11" s="52"/>
      <c r="O11" s="52"/>
      <c r="P11" s="75"/>
      <c r="Q11" s="58"/>
      <c r="R11" s="44"/>
      <c r="S11" s="53"/>
      <c r="T11" s="58"/>
      <c r="U11" s="58"/>
      <c r="V11" s="75"/>
      <c r="W11" s="58"/>
      <c r="X11" s="42"/>
      <c r="Y11" s="44"/>
      <c r="Z11" s="44"/>
      <c r="AA11" s="44"/>
      <c r="AB11" s="44"/>
    </row>
    <row r="12" spans="1:30" s="35" customFormat="1" hidden="1">
      <c r="A12" s="44"/>
      <c r="B12" s="44"/>
      <c r="C12" s="44"/>
      <c r="D12" s="44"/>
      <c r="E12" s="42"/>
      <c r="F12" s="44"/>
      <c r="G12" s="44"/>
      <c r="H12" s="42"/>
      <c r="I12" s="44"/>
      <c r="J12" s="42"/>
      <c r="K12" s="42"/>
      <c r="L12" s="44"/>
      <c r="M12" s="51"/>
      <c r="N12" s="52"/>
      <c r="O12" s="52"/>
      <c r="P12" s="75"/>
      <c r="Q12" s="58"/>
      <c r="R12" s="44"/>
      <c r="S12" s="53"/>
      <c r="T12" s="58"/>
      <c r="U12" s="58"/>
      <c r="V12" s="75"/>
      <c r="W12" s="58"/>
      <c r="X12" s="42"/>
      <c r="Y12" s="44"/>
      <c r="Z12" s="44"/>
      <c r="AA12" s="44"/>
      <c r="AB12" s="44"/>
    </row>
    <row r="13" spans="1:30" s="35" customFormat="1" hidden="1">
      <c r="A13" s="44"/>
      <c r="B13" s="44"/>
      <c r="C13" s="44"/>
      <c r="D13" s="44"/>
      <c r="E13" s="42"/>
      <c r="F13" s="44"/>
      <c r="G13" s="44"/>
      <c r="H13" s="42"/>
      <c r="I13" s="44"/>
      <c r="J13" s="42"/>
      <c r="K13" s="42"/>
      <c r="L13" s="44"/>
      <c r="M13" s="51"/>
      <c r="N13" s="52"/>
      <c r="O13" s="52"/>
      <c r="P13" s="75"/>
      <c r="Q13" s="58"/>
      <c r="R13" s="44"/>
      <c r="S13" s="53"/>
      <c r="T13" s="58"/>
      <c r="U13" s="58"/>
      <c r="V13" s="75"/>
      <c r="W13" s="58"/>
      <c r="X13" s="42"/>
      <c r="Y13" s="44"/>
      <c r="Z13" s="44"/>
      <c r="AA13" s="44"/>
      <c r="AB13" s="44"/>
    </row>
    <row r="14" spans="1:30" s="35" customFormat="1" hidden="1">
      <c r="A14" s="44"/>
      <c r="B14" s="44"/>
      <c r="C14" s="44"/>
      <c r="D14" s="44"/>
      <c r="E14" s="42"/>
      <c r="F14" s="44"/>
      <c r="G14" s="44"/>
      <c r="H14" s="42"/>
      <c r="I14" s="44"/>
      <c r="J14" s="42"/>
      <c r="K14" s="42"/>
      <c r="L14" s="44"/>
      <c r="M14" s="51"/>
      <c r="N14" s="52"/>
      <c r="O14" s="52"/>
      <c r="P14" s="75"/>
      <c r="Q14" s="58"/>
      <c r="R14" s="44"/>
      <c r="S14" s="53"/>
      <c r="T14" s="58"/>
      <c r="U14" s="58"/>
      <c r="V14" s="75"/>
      <c r="W14" s="58"/>
      <c r="X14" s="42"/>
      <c r="Y14" s="44"/>
      <c r="Z14" s="44"/>
      <c r="AA14" s="44"/>
      <c r="AB14" s="44"/>
    </row>
    <row r="15" spans="1:30" s="35" customFormat="1" hidden="1">
      <c r="A15" s="44"/>
      <c r="B15" s="44"/>
      <c r="C15" s="44"/>
      <c r="D15" s="44"/>
      <c r="E15" s="42"/>
      <c r="F15" s="44"/>
      <c r="G15" s="44"/>
      <c r="H15" s="42"/>
      <c r="I15" s="44"/>
      <c r="J15" s="42"/>
      <c r="K15" s="42"/>
      <c r="L15" s="44"/>
      <c r="M15" s="51"/>
      <c r="N15" s="52"/>
      <c r="O15" s="52"/>
      <c r="P15" s="75"/>
      <c r="Q15" s="58"/>
      <c r="R15" s="44"/>
      <c r="S15" s="53"/>
      <c r="T15" s="58"/>
      <c r="U15" s="58"/>
      <c r="V15" s="44"/>
      <c r="W15" s="44"/>
      <c r="X15" s="42"/>
      <c r="Y15" s="44"/>
      <c r="Z15" s="44"/>
      <c r="AA15" s="44"/>
      <c r="AB15" s="44"/>
    </row>
    <row r="16" spans="1:30" s="35" customFormat="1" hidden="1">
      <c r="A16" s="44"/>
      <c r="B16" s="44"/>
      <c r="C16" s="44"/>
      <c r="D16" s="44"/>
      <c r="E16" s="42"/>
      <c r="F16" s="44"/>
      <c r="G16" s="44"/>
      <c r="H16" s="42"/>
      <c r="I16" s="44"/>
      <c r="J16" s="42"/>
      <c r="K16" s="42"/>
      <c r="L16" s="44"/>
      <c r="M16" s="51"/>
      <c r="N16" s="52"/>
      <c r="O16" s="52"/>
      <c r="P16" s="75"/>
      <c r="Q16" s="58"/>
      <c r="R16" s="44"/>
      <c r="S16" s="53"/>
      <c r="T16" s="58"/>
      <c r="U16" s="58"/>
      <c r="V16" s="44"/>
      <c r="W16" s="44"/>
      <c r="X16" s="42"/>
      <c r="Y16" s="44"/>
      <c r="Z16" s="44"/>
      <c r="AA16" s="44"/>
      <c r="AB16" s="44"/>
    </row>
    <row r="17" spans="1:28" s="35" customFormat="1" hidden="1">
      <c r="A17" s="44"/>
      <c r="B17" s="44"/>
      <c r="C17" s="44"/>
      <c r="D17" s="44"/>
      <c r="E17" s="42"/>
      <c r="F17" s="44"/>
      <c r="G17" s="44"/>
      <c r="H17" s="42"/>
      <c r="I17" s="44"/>
      <c r="J17" s="42"/>
      <c r="K17" s="42"/>
      <c r="L17" s="44"/>
      <c r="M17" s="51"/>
      <c r="N17" s="52"/>
      <c r="O17" s="52"/>
      <c r="P17" s="75"/>
      <c r="Q17" s="58"/>
      <c r="R17" s="44"/>
      <c r="S17" s="53"/>
      <c r="T17" s="58"/>
      <c r="U17" s="58"/>
      <c r="V17" s="44"/>
      <c r="W17" s="44"/>
      <c r="X17" s="42"/>
      <c r="Y17" s="44"/>
      <c r="Z17" s="44"/>
      <c r="AA17" s="44"/>
      <c r="AB17" s="44"/>
    </row>
    <row r="18" spans="1:28" s="35" customFormat="1" hidden="1">
      <c r="A18" s="44"/>
      <c r="B18" s="44"/>
      <c r="C18" s="44"/>
      <c r="D18" s="44"/>
      <c r="E18" s="42"/>
      <c r="F18" s="44"/>
      <c r="G18" s="44"/>
      <c r="H18" s="42"/>
      <c r="I18" s="44"/>
      <c r="J18" s="42"/>
      <c r="K18" s="42"/>
      <c r="L18" s="44"/>
      <c r="M18" s="51"/>
      <c r="N18" s="52"/>
      <c r="O18" s="52"/>
      <c r="P18" s="75"/>
      <c r="Q18" s="58"/>
      <c r="R18" s="44"/>
      <c r="S18" s="53"/>
      <c r="T18" s="58"/>
      <c r="U18" s="58"/>
      <c r="V18" s="44"/>
      <c r="W18" s="44"/>
      <c r="X18" s="42"/>
      <c r="Y18" s="44"/>
      <c r="Z18" s="44"/>
      <c r="AA18" s="44"/>
      <c r="AB18" s="44"/>
    </row>
    <row r="19" spans="1:28" s="35" customFormat="1" hidden="1">
      <c r="A19" s="44"/>
      <c r="B19" s="44"/>
      <c r="C19" s="44"/>
      <c r="D19" s="44"/>
      <c r="E19" s="42"/>
      <c r="F19" s="44"/>
      <c r="G19" s="44"/>
      <c r="H19" s="42"/>
      <c r="I19" s="44"/>
      <c r="J19" s="42"/>
      <c r="K19" s="42"/>
      <c r="L19" s="44"/>
      <c r="M19" s="51"/>
      <c r="N19" s="52"/>
      <c r="O19" s="52"/>
      <c r="P19" s="75"/>
      <c r="Q19" s="58"/>
      <c r="R19" s="44"/>
      <c r="S19" s="53"/>
      <c r="T19" s="58"/>
      <c r="U19" s="58"/>
      <c r="V19" s="44"/>
      <c r="W19" s="44"/>
      <c r="X19" s="42"/>
      <c r="Y19" s="44"/>
      <c r="Z19" s="44"/>
      <c r="AA19" s="44"/>
      <c r="AB19" s="44"/>
    </row>
    <row r="20" spans="1:28" s="35" customFormat="1" hidden="1">
      <c r="A20" s="44"/>
      <c r="B20" s="44"/>
      <c r="C20" s="44"/>
      <c r="D20" s="44"/>
      <c r="E20" s="42"/>
      <c r="F20" s="44"/>
      <c r="G20" s="44"/>
      <c r="H20" s="42"/>
      <c r="I20" s="44"/>
      <c r="J20" s="42"/>
      <c r="K20" s="42"/>
      <c r="L20" s="44"/>
      <c r="M20" s="51"/>
      <c r="N20" s="52"/>
      <c r="O20" s="52"/>
      <c r="P20" s="75"/>
      <c r="Q20" s="58"/>
      <c r="R20" s="44"/>
      <c r="S20" s="53"/>
      <c r="T20" s="58"/>
      <c r="U20" s="58"/>
      <c r="V20" s="44"/>
      <c r="W20" s="44"/>
      <c r="X20" s="42"/>
      <c r="Y20" s="44"/>
      <c r="Z20" s="44"/>
      <c r="AA20" s="44"/>
      <c r="AB20" s="44"/>
    </row>
    <row r="21" spans="1:28" s="35" customFormat="1" hidden="1">
      <c r="A21" s="44"/>
      <c r="B21" s="44"/>
      <c r="C21" s="44"/>
      <c r="D21" s="44"/>
      <c r="E21" s="42"/>
      <c r="F21" s="44"/>
      <c r="G21" s="44"/>
      <c r="H21" s="42"/>
      <c r="I21" s="44"/>
      <c r="J21" s="42"/>
      <c r="K21" s="42"/>
      <c r="L21" s="44"/>
      <c r="M21" s="51"/>
      <c r="N21" s="52"/>
      <c r="O21" s="52"/>
      <c r="P21" s="75"/>
      <c r="Q21" s="58"/>
      <c r="R21" s="44"/>
      <c r="S21" s="53"/>
      <c r="T21" s="58"/>
      <c r="U21" s="58"/>
      <c r="V21" s="44"/>
      <c r="W21" s="44"/>
      <c r="X21" s="42"/>
      <c r="Y21" s="44"/>
      <c r="Z21" s="44"/>
      <c r="AA21" s="44"/>
      <c r="AB21" s="44"/>
    </row>
    <row r="22" spans="1:28" s="35" customFormat="1" hidden="1">
      <c r="A22" s="44"/>
      <c r="B22" s="44"/>
      <c r="C22" s="44"/>
      <c r="D22" s="44"/>
      <c r="E22" s="42"/>
      <c r="F22" s="44"/>
      <c r="G22" s="44"/>
      <c r="H22" s="42"/>
      <c r="I22" s="44"/>
      <c r="J22" s="42"/>
      <c r="K22" s="42"/>
      <c r="L22" s="44"/>
      <c r="M22" s="51"/>
      <c r="N22" s="52"/>
      <c r="O22" s="52"/>
      <c r="P22" s="75"/>
      <c r="Q22" s="58"/>
      <c r="R22" s="44"/>
      <c r="S22" s="53"/>
      <c r="T22" s="58"/>
      <c r="U22" s="58"/>
      <c r="V22" s="44"/>
      <c r="W22" s="44"/>
      <c r="X22" s="42"/>
      <c r="Y22" s="44"/>
      <c r="Z22" s="44"/>
      <c r="AA22" s="44"/>
      <c r="AB22" s="44"/>
    </row>
    <row r="23" spans="1:28" s="35" customFormat="1" hidden="1">
      <c r="A23" s="44"/>
      <c r="B23" s="44"/>
      <c r="C23" s="44"/>
      <c r="D23" s="44"/>
      <c r="E23" s="42"/>
      <c r="F23" s="44"/>
      <c r="G23" s="44"/>
      <c r="H23" s="42"/>
      <c r="I23" s="44"/>
      <c r="J23" s="42"/>
      <c r="K23" s="42"/>
      <c r="L23" s="44"/>
      <c r="M23" s="51"/>
      <c r="N23" s="52"/>
      <c r="O23" s="52"/>
      <c r="P23" s="75"/>
      <c r="Q23" s="58"/>
      <c r="R23" s="44"/>
      <c r="S23" s="53"/>
      <c r="T23" s="58"/>
      <c r="U23" s="58"/>
      <c r="V23" s="44"/>
      <c r="W23" s="44"/>
      <c r="X23" s="42"/>
      <c r="Y23" s="44"/>
      <c r="Z23" s="44"/>
      <c r="AA23" s="44"/>
      <c r="AB23" s="44"/>
    </row>
    <row r="24" spans="1:28" s="35" customFormat="1" hidden="1">
      <c r="A24" s="44"/>
      <c r="B24" s="44"/>
      <c r="C24" s="44"/>
      <c r="D24" s="44"/>
      <c r="E24" s="42"/>
      <c r="F24" s="44"/>
      <c r="G24" s="44"/>
      <c r="H24" s="42"/>
      <c r="I24" s="44"/>
      <c r="J24" s="42"/>
      <c r="K24" s="42"/>
      <c r="L24" s="44"/>
      <c r="M24" s="51"/>
      <c r="N24" s="52"/>
      <c r="O24" s="52"/>
      <c r="P24" s="75"/>
      <c r="Q24" s="58"/>
      <c r="R24" s="44"/>
      <c r="S24" s="53"/>
      <c r="T24" s="58"/>
      <c r="U24" s="58"/>
      <c r="V24" s="44"/>
      <c r="W24" s="44"/>
      <c r="X24" s="42"/>
      <c r="Y24" s="44"/>
      <c r="Z24" s="44"/>
      <c r="AA24" s="44"/>
      <c r="AB24" s="44"/>
    </row>
    <row r="25" spans="1:28" s="35" customFormat="1" hidden="1">
      <c r="A25" s="44"/>
      <c r="B25" s="44"/>
      <c r="C25" s="44"/>
      <c r="D25" s="44"/>
      <c r="E25" s="42"/>
      <c r="F25" s="44"/>
      <c r="G25" s="44"/>
      <c r="H25" s="42"/>
      <c r="I25" s="44"/>
      <c r="J25" s="42"/>
      <c r="K25" s="42"/>
      <c r="L25" s="44"/>
      <c r="M25" s="51"/>
      <c r="N25" s="52"/>
      <c r="O25" s="52"/>
      <c r="P25" s="75"/>
      <c r="Q25" s="58"/>
      <c r="R25" s="44"/>
      <c r="S25" s="53"/>
      <c r="T25" s="58"/>
      <c r="U25" s="58"/>
      <c r="V25" s="44"/>
      <c r="W25" s="44"/>
      <c r="X25" s="42"/>
      <c r="Y25" s="44"/>
      <c r="Z25" s="44"/>
      <c r="AA25" s="44"/>
      <c r="AB25" s="44"/>
    </row>
    <row r="26" spans="1:28" s="34" customFormat="1" ht="84" hidden="1" customHeight="1">
      <c r="A26" s="43"/>
      <c r="B26" s="43"/>
      <c r="C26" s="43"/>
      <c r="D26" s="43"/>
      <c r="E26" s="71"/>
      <c r="F26" s="43"/>
      <c r="G26" s="43"/>
      <c r="H26" s="71"/>
      <c r="I26" s="43"/>
      <c r="J26" s="71"/>
      <c r="K26" s="71"/>
      <c r="L26" s="43"/>
      <c r="M26" s="49"/>
      <c r="N26" s="50"/>
      <c r="O26" s="50"/>
      <c r="P26" s="76"/>
      <c r="Q26" s="55"/>
      <c r="R26" s="43"/>
      <c r="S26" s="43"/>
      <c r="T26" s="43"/>
      <c r="U26" s="56"/>
      <c r="V26" s="50"/>
      <c r="W26" s="43"/>
      <c r="X26" s="79"/>
      <c r="Y26" s="43"/>
      <c r="Z26" s="43"/>
      <c r="AA26" s="43"/>
      <c r="AB26" s="43"/>
    </row>
    <row r="27" spans="1:28" s="35" customFormat="1" hidden="1">
      <c r="A27" s="44"/>
      <c r="B27" s="44"/>
      <c r="C27" s="44"/>
      <c r="D27" s="44"/>
      <c r="E27" s="42"/>
      <c r="F27" s="44"/>
      <c r="G27" s="44"/>
      <c r="H27" s="42"/>
      <c r="I27" s="44"/>
      <c r="J27" s="42"/>
      <c r="K27" s="42"/>
      <c r="L27" s="44"/>
      <c r="M27" s="51"/>
      <c r="N27" s="52"/>
      <c r="O27" s="52"/>
      <c r="P27" s="75"/>
      <c r="Q27" s="58"/>
      <c r="R27" s="44"/>
      <c r="S27" s="53"/>
      <c r="T27" s="58">
        <f>(S27-N26)/360*$U$26*$K$26</f>
        <v>0</v>
      </c>
      <c r="U27" s="58">
        <f>T27-Q27</f>
        <v>0</v>
      </c>
      <c r="V27" s="52"/>
      <c r="W27" s="44"/>
      <c r="X27" s="42"/>
      <c r="Y27" s="62">
        <f>ROUNDUP((V27-N26)*K26*X26/365,2)</f>
        <v>0</v>
      </c>
      <c r="Z27" s="44"/>
      <c r="AA27" s="44"/>
      <c r="AB27" s="44"/>
    </row>
    <row r="28" spans="1:28" s="35" customFormat="1" hidden="1">
      <c r="A28" s="44"/>
      <c r="B28" s="44"/>
      <c r="C28" s="44"/>
      <c r="D28" s="44"/>
      <c r="E28" s="42"/>
      <c r="F28" s="44"/>
      <c r="G28" s="44"/>
      <c r="H28" s="42"/>
      <c r="I28" s="44"/>
      <c r="J28" s="42"/>
      <c r="K28" s="42"/>
      <c r="L28" s="44"/>
      <c r="M28" s="51"/>
      <c r="N28" s="52"/>
      <c r="O28" s="52"/>
      <c r="P28" s="75"/>
      <c r="Q28" s="58"/>
      <c r="R28" s="44"/>
      <c r="S28" s="53"/>
      <c r="T28" s="58">
        <f>(S28-S27)*$U$26*$K$26/360</f>
        <v>0</v>
      </c>
      <c r="U28" s="58">
        <f>T28-Q28</f>
        <v>0</v>
      </c>
      <c r="V28" s="44"/>
      <c r="W28" s="44"/>
      <c r="X28" s="42"/>
      <c r="Y28" s="62">
        <f>ROUNDUP((O26-V27+1)*(K26-W27)*X26/365,2)</f>
        <v>0</v>
      </c>
      <c r="Z28" s="44"/>
      <c r="AA28" s="44"/>
      <c r="AB28" s="44"/>
    </row>
    <row r="29" spans="1:28" s="35" customFormat="1" hidden="1">
      <c r="A29" s="44"/>
      <c r="B29" s="44"/>
      <c r="C29" s="44"/>
      <c r="D29" s="44"/>
      <c r="E29" s="42"/>
      <c r="F29" s="44"/>
      <c r="G29" s="44"/>
      <c r="H29" s="42"/>
      <c r="I29" s="44"/>
      <c r="J29" s="42"/>
      <c r="K29" s="42"/>
      <c r="L29" s="44"/>
      <c r="M29" s="51"/>
      <c r="N29" s="52"/>
      <c r="O29" s="52"/>
      <c r="P29" s="75"/>
      <c r="Q29" s="58"/>
      <c r="R29" s="44"/>
      <c r="S29" s="53"/>
      <c r="T29" s="58">
        <f>(S29-S28)*$U$26*$K$26/360</f>
        <v>0</v>
      </c>
      <c r="U29" s="58">
        <f>T29-Q29</f>
        <v>0</v>
      </c>
      <c r="V29" s="44"/>
      <c r="W29" s="44"/>
      <c r="X29" s="42"/>
      <c r="Y29" s="44"/>
      <c r="Z29" s="44"/>
      <c r="AA29" s="44"/>
      <c r="AB29" s="44"/>
    </row>
    <row r="30" spans="1:28" s="35" customFormat="1" hidden="1">
      <c r="A30" s="44"/>
      <c r="B30" s="44"/>
      <c r="C30" s="44"/>
      <c r="D30" s="44"/>
      <c r="E30" s="42"/>
      <c r="F30" s="44"/>
      <c r="G30" s="44"/>
      <c r="H30" s="42"/>
      <c r="I30" s="44"/>
      <c r="J30" s="42"/>
      <c r="K30" s="42"/>
      <c r="L30" s="44"/>
      <c r="M30" s="51"/>
      <c r="N30" s="52"/>
      <c r="O30" s="52"/>
      <c r="P30" s="75"/>
      <c r="Q30" s="58"/>
      <c r="R30" s="44"/>
      <c r="S30" s="53"/>
      <c r="T30" s="58">
        <f>(S30-S29)*$U$26*$K$26/360</f>
        <v>0</v>
      </c>
      <c r="U30" s="58">
        <f>T30-Q30</f>
        <v>0</v>
      </c>
      <c r="V30" s="44"/>
      <c r="W30" s="44"/>
      <c r="X30" s="42"/>
      <c r="Y30" s="44"/>
      <c r="Z30" s="44"/>
      <c r="AA30" s="44"/>
      <c r="AB30" s="44"/>
    </row>
    <row r="31" spans="1:28" s="35" customFormat="1" hidden="1">
      <c r="A31" s="44"/>
      <c r="B31" s="44"/>
      <c r="C31" s="44"/>
      <c r="D31" s="44"/>
      <c r="E31" s="42"/>
      <c r="F31" s="44"/>
      <c r="G31" s="44"/>
      <c r="H31" s="42"/>
      <c r="I31" s="44"/>
      <c r="J31" s="42"/>
      <c r="K31" s="42"/>
      <c r="L31" s="44"/>
      <c r="M31" s="51"/>
      <c r="N31" s="52"/>
      <c r="O31" s="52"/>
      <c r="P31" s="75"/>
      <c r="Q31" s="58"/>
      <c r="R31" s="44"/>
      <c r="S31" s="53"/>
      <c r="T31" s="58">
        <f>(S31-S30)*$U$26*$K$26/360</f>
        <v>0</v>
      </c>
      <c r="U31" s="58">
        <f>T31-Q31</f>
        <v>0</v>
      </c>
      <c r="V31" s="44"/>
      <c r="W31" s="44"/>
      <c r="X31" s="42"/>
      <c r="Y31" s="44"/>
      <c r="Z31" s="44"/>
      <c r="AA31" s="44"/>
      <c r="AB31" s="44"/>
    </row>
    <row r="32" spans="1:28" s="35" customFormat="1" hidden="1">
      <c r="A32" s="44"/>
      <c r="B32" s="44"/>
      <c r="C32" s="44"/>
      <c r="D32" s="44"/>
      <c r="E32" s="42"/>
      <c r="F32" s="44"/>
      <c r="G32" s="44"/>
      <c r="H32" s="42"/>
      <c r="I32" s="44"/>
      <c r="J32" s="42"/>
      <c r="K32" s="42"/>
      <c r="L32" s="44"/>
      <c r="M32" s="51"/>
      <c r="N32" s="52"/>
      <c r="O32" s="52"/>
      <c r="P32" s="75"/>
      <c r="Q32" s="58"/>
      <c r="R32" s="44"/>
      <c r="S32" s="53"/>
      <c r="T32" s="58"/>
      <c r="U32" s="58"/>
      <c r="V32" s="44"/>
      <c r="W32" s="44"/>
      <c r="X32" s="42"/>
      <c r="Y32" s="44"/>
      <c r="Z32" s="44"/>
      <c r="AA32" s="44"/>
      <c r="AB32" s="44"/>
    </row>
    <row r="33" spans="1:28" s="35" customFormat="1" hidden="1">
      <c r="A33" s="44"/>
      <c r="B33" s="44"/>
      <c r="C33" s="44"/>
      <c r="D33" s="44"/>
      <c r="E33" s="42"/>
      <c r="F33" s="44"/>
      <c r="G33" s="44"/>
      <c r="H33" s="42"/>
      <c r="I33" s="44"/>
      <c r="J33" s="42"/>
      <c r="K33" s="42"/>
      <c r="L33" s="44"/>
      <c r="M33" s="51"/>
      <c r="N33" s="52"/>
      <c r="O33" s="52"/>
      <c r="P33" s="75"/>
      <c r="Q33" s="58"/>
      <c r="R33" s="44"/>
      <c r="S33" s="53"/>
      <c r="T33" s="58"/>
      <c r="U33" s="58"/>
      <c r="V33" s="44"/>
      <c r="W33" s="44"/>
      <c r="X33" s="42"/>
      <c r="Y33" s="44"/>
      <c r="Z33" s="44"/>
      <c r="AA33" s="44"/>
      <c r="AB33" s="44"/>
    </row>
    <row r="34" spans="1:28" s="35" customFormat="1" hidden="1">
      <c r="A34" s="44"/>
      <c r="B34" s="44"/>
      <c r="C34" s="44"/>
      <c r="D34" s="44"/>
      <c r="E34" s="42"/>
      <c r="F34" s="44"/>
      <c r="G34" s="44"/>
      <c r="H34" s="42"/>
      <c r="I34" s="44"/>
      <c r="J34" s="42"/>
      <c r="K34" s="42"/>
      <c r="L34" s="44"/>
      <c r="M34" s="51"/>
      <c r="N34" s="52"/>
      <c r="O34" s="52"/>
      <c r="P34" s="75"/>
      <c r="Q34" s="58"/>
      <c r="R34" s="44"/>
      <c r="S34" s="53"/>
      <c r="T34" s="58"/>
      <c r="U34" s="58"/>
      <c r="V34" s="44"/>
      <c r="W34" s="44"/>
      <c r="X34" s="42"/>
      <c r="Y34" s="44"/>
      <c r="Z34" s="44"/>
      <c r="AA34" s="44"/>
      <c r="AB34" s="44"/>
    </row>
    <row r="35" spans="1:28" s="35" customFormat="1" hidden="1">
      <c r="A35" s="44"/>
      <c r="B35" s="44"/>
      <c r="C35" s="44"/>
      <c r="D35" s="44"/>
      <c r="E35" s="42"/>
      <c r="F35" s="44"/>
      <c r="G35" s="44"/>
      <c r="H35" s="42"/>
      <c r="I35" s="44"/>
      <c r="J35" s="42"/>
      <c r="K35" s="42"/>
      <c r="L35" s="44"/>
      <c r="M35" s="51"/>
      <c r="N35" s="52"/>
      <c r="O35" s="52"/>
      <c r="P35" s="75"/>
      <c r="Q35" s="58"/>
      <c r="R35" s="44"/>
      <c r="S35" s="53"/>
      <c r="T35" s="58"/>
      <c r="U35" s="58"/>
      <c r="V35" s="44"/>
      <c r="W35" s="44"/>
      <c r="X35" s="42"/>
      <c r="Y35" s="44"/>
      <c r="Z35" s="44"/>
      <c r="AA35" s="44"/>
      <c r="AB35" s="44"/>
    </row>
    <row r="36" spans="1:28" s="35" customFormat="1" hidden="1">
      <c r="A36" s="44"/>
      <c r="B36" s="44"/>
      <c r="C36" s="44"/>
      <c r="D36" s="44"/>
      <c r="E36" s="42"/>
      <c r="F36" s="44"/>
      <c r="G36" s="44"/>
      <c r="H36" s="42"/>
      <c r="I36" s="44"/>
      <c r="J36" s="42"/>
      <c r="K36" s="42"/>
      <c r="L36" s="44"/>
      <c r="M36" s="51"/>
      <c r="N36" s="52"/>
      <c r="O36" s="52"/>
      <c r="P36" s="75"/>
      <c r="Q36" s="58"/>
      <c r="R36" s="44"/>
      <c r="S36" s="53"/>
      <c r="T36" s="58"/>
      <c r="U36" s="58"/>
      <c r="V36" s="44"/>
      <c r="W36" s="44"/>
      <c r="X36" s="42"/>
      <c r="Y36" s="44"/>
      <c r="Z36" s="44"/>
      <c r="AA36" s="44"/>
      <c r="AB36" s="44"/>
    </row>
    <row r="37" spans="1:28" s="35" customFormat="1" hidden="1">
      <c r="A37" s="44"/>
      <c r="B37" s="44"/>
      <c r="C37" s="44"/>
      <c r="D37" s="44"/>
      <c r="E37" s="42"/>
      <c r="F37" s="44"/>
      <c r="G37" s="44"/>
      <c r="H37" s="42"/>
      <c r="I37" s="44"/>
      <c r="J37" s="42"/>
      <c r="K37" s="42"/>
      <c r="L37" s="44"/>
      <c r="M37" s="51"/>
      <c r="N37" s="52"/>
      <c r="O37" s="52"/>
      <c r="P37" s="75"/>
      <c r="Q37" s="58"/>
      <c r="R37" s="44"/>
      <c r="S37" s="53"/>
      <c r="T37" s="58"/>
      <c r="U37" s="58"/>
      <c r="V37" s="44"/>
      <c r="W37" s="44"/>
      <c r="X37" s="42"/>
      <c r="Y37" s="44"/>
      <c r="Z37" s="44"/>
      <c r="AA37" s="44"/>
      <c r="AB37" s="44"/>
    </row>
    <row r="38" spans="1:28" s="35" customFormat="1" hidden="1">
      <c r="A38" s="44"/>
      <c r="B38" s="44"/>
      <c r="C38" s="44"/>
      <c r="D38" s="44"/>
      <c r="E38" s="42"/>
      <c r="F38" s="44"/>
      <c r="G38" s="44"/>
      <c r="H38" s="42"/>
      <c r="I38" s="44"/>
      <c r="J38" s="42"/>
      <c r="K38" s="42"/>
      <c r="L38" s="44"/>
      <c r="M38" s="51"/>
      <c r="N38" s="52"/>
      <c r="O38" s="52"/>
      <c r="P38" s="75"/>
      <c r="Q38" s="58"/>
      <c r="R38" s="44"/>
      <c r="S38" s="53"/>
      <c r="T38" s="58"/>
      <c r="U38" s="58"/>
      <c r="V38" s="44"/>
      <c r="W38" s="44"/>
      <c r="X38" s="42"/>
      <c r="Y38" s="44"/>
      <c r="Z38" s="44"/>
      <c r="AA38" s="44"/>
      <c r="AB38" s="44"/>
    </row>
    <row r="39" spans="1:28" s="35" customFormat="1" hidden="1">
      <c r="A39" s="44"/>
      <c r="B39" s="44"/>
      <c r="C39" s="44"/>
      <c r="D39" s="44"/>
      <c r="E39" s="42"/>
      <c r="F39" s="44"/>
      <c r="G39" s="44"/>
      <c r="H39" s="42"/>
      <c r="I39" s="44"/>
      <c r="J39" s="42"/>
      <c r="K39" s="42"/>
      <c r="L39" s="44"/>
      <c r="M39" s="51"/>
      <c r="N39" s="52"/>
      <c r="O39" s="52"/>
      <c r="P39" s="75"/>
      <c r="Q39" s="58"/>
      <c r="R39" s="44"/>
      <c r="S39" s="53"/>
      <c r="T39" s="58"/>
      <c r="U39" s="58"/>
      <c r="V39" s="44"/>
      <c r="W39" s="44"/>
      <c r="X39" s="42"/>
      <c r="Y39" s="44"/>
      <c r="Z39" s="44"/>
      <c r="AA39" s="44"/>
      <c r="AB39" s="44"/>
    </row>
    <row r="40" spans="1:28" s="35" customFormat="1" hidden="1">
      <c r="A40" s="44"/>
      <c r="B40" s="44"/>
      <c r="C40" s="44"/>
      <c r="D40" s="44"/>
      <c r="E40" s="42"/>
      <c r="F40" s="44"/>
      <c r="G40" s="44"/>
      <c r="H40" s="42"/>
      <c r="I40" s="44"/>
      <c r="J40" s="42"/>
      <c r="K40" s="42"/>
      <c r="L40" s="44"/>
      <c r="M40" s="51"/>
      <c r="N40" s="52"/>
      <c r="O40" s="52"/>
      <c r="P40" s="75"/>
      <c r="Q40" s="58"/>
      <c r="R40" s="44"/>
      <c r="S40" s="53"/>
      <c r="T40" s="58"/>
      <c r="U40" s="58"/>
      <c r="V40" s="44"/>
      <c r="W40" s="44"/>
      <c r="X40" s="42"/>
      <c r="Y40" s="44"/>
      <c r="Z40" s="44"/>
      <c r="AA40" s="44"/>
      <c r="AB40" s="44"/>
    </row>
    <row r="41" spans="1:28" s="35" customFormat="1" hidden="1">
      <c r="A41" s="44"/>
      <c r="B41" s="44"/>
      <c r="C41" s="44"/>
      <c r="D41" s="44"/>
      <c r="E41" s="42"/>
      <c r="F41" s="44"/>
      <c r="G41" s="44"/>
      <c r="H41" s="42"/>
      <c r="I41" s="44"/>
      <c r="J41" s="42"/>
      <c r="K41" s="42"/>
      <c r="L41" s="44"/>
      <c r="M41" s="51"/>
      <c r="N41" s="52"/>
      <c r="O41" s="52"/>
      <c r="P41" s="75"/>
      <c r="Q41" s="58"/>
      <c r="R41" s="44"/>
      <c r="S41" s="53"/>
      <c r="T41" s="58"/>
      <c r="U41" s="58"/>
      <c r="V41" s="44"/>
      <c r="W41" s="44"/>
      <c r="X41" s="42"/>
      <c r="Y41" s="44"/>
      <c r="Z41" s="44"/>
      <c r="AA41" s="44"/>
      <c r="AB41" s="44"/>
    </row>
    <row r="42" spans="1:28" s="35" customFormat="1" hidden="1">
      <c r="A42" s="44"/>
      <c r="B42" s="44"/>
      <c r="C42" s="44"/>
      <c r="D42" s="44"/>
      <c r="E42" s="42"/>
      <c r="F42" s="44"/>
      <c r="G42" s="44"/>
      <c r="H42" s="42"/>
      <c r="I42" s="44"/>
      <c r="J42" s="42"/>
      <c r="K42" s="42"/>
      <c r="L42" s="44"/>
      <c r="M42" s="51"/>
      <c r="N42" s="52"/>
      <c r="O42" s="52"/>
      <c r="P42" s="75"/>
      <c r="Q42" s="58"/>
      <c r="R42" s="44"/>
      <c r="S42" s="53"/>
      <c r="T42" s="58"/>
      <c r="U42" s="58"/>
      <c r="V42" s="44"/>
      <c r="W42" s="44"/>
      <c r="X42" s="42"/>
      <c r="Y42" s="44"/>
      <c r="Z42" s="44"/>
      <c r="AA42" s="44"/>
      <c r="AB42" s="44"/>
    </row>
    <row r="43" spans="1:28" s="35" customFormat="1" hidden="1">
      <c r="A43" s="44"/>
      <c r="B43" s="44"/>
      <c r="C43" s="44"/>
      <c r="D43" s="44"/>
      <c r="E43" s="42"/>
      <c r="F43" s="44"/>
      <c r="G43" s="44"/>
      <c r="H43" s="42"/>
      <c r="I43" s="44"/>
      <c r="J43" s="42"/>
      <c r="K43" s="42"/>
      <c r="L43" s="44"/>
      <c r="M43" s="51"/>
      <c r="N43" s="52"/>
      <c r="O43" s="52"/>
      <c r="P43" s="75"/>
      <c r="Q43" s="58"/>
      <c r="R43" s="44"/>
      <c r="S43" s="53"/>
      <c r="T43" s="58"/>
      <c r="U43" s="58"/>
      <c r="V43" s="44"/>
      <c r="W43" s="44"/>
      <c r="X43" s="42"/>
      <c r="Y43" s="44"/>
      <c r="Z43" s="44"/>
      <c r="AA43" s="44"/>
      <c r="AB43" s="44"/>
    </row>
    <row r="44" spans="1:28" s="35" customFormat="1" hidden="1">
      <c r="A44" s="44"/>
      <c r="B44" s="44"/>
      <c r="C44" s="44"/>
      <c r="D44" s="44"/>
      <c r="E44" s="42"/>
      <c r="F44" s="44"/>
      <c r="G44" s="44"/>
      <c r="H44" s="42"/>
      <c r="I44" s="44"/>
      <c r="J44" s="42"/>
      <c r="K44" s="42"/>
      <c r="L44" s="44"/>
      <c r="M44" s="51"/>
      <c r="N44" s="52"/>
      <c r="O44" s="52"/>
      <c r="P44" s="75"/>
      <c r="Q44" s="58"/>
      <c r="R44" s="44"/>
      <c r="S44" s="53"/>
      <c r="T44" s="58"/>
      <c r="U44" s="58"/>
      <c r="V44" s="44"/>
      <c r="W44" s="44"/>
      <c r="X44" s="42"/>
      <c r="Y44" s="44"/>
      <c r="Z44" s="44"/>
      <c r="AA44" s="44"/>
      <c r="AB44" s="44"/>
    </row>
    <row r="45" spans="1:28" s="35" customFormat="1" hidden="1">
      <c r="A45" s="44"/>
      <c r="B45" s="44"/>
      <c r="C45" s="44"/>
      <c r="D45" s="44"/>
      <c r="E45" s="42"/>
      <c r="F45" s="44"/>
      <c r="G45" s="44"/>
      <c r="H45" s="42"/>
      <c r="I45" s="44"/>
      <c r="J45" s="42"/>
      <c r="K45" s="42"/>
      <c r="L45" s="44"/>
      <c r="M45" s="51"/>
      <c r="N45" s="52"/>
      <c r="O45" s="52"/>
      <c r="P45" s="75"/>
      <c r="Q45" s="58"/>
      <c r="R45" s="44"/>
      <c r="S45" s="53"/>
      <c r="T45" s="58"/>
      <c r="U45" s="58"/>
      <c r="V45" s="44"/>
      <c r="W45" s="44"/>
      <c r="X45" s="42"/>
      <c r="Y45" s="44"/>
      <c r="Z45" s="44"/>
      <c r="AA45" s="44"/>
      <c r="AB45" s="44"/>
    </row>
    <row r="46" spans="1:28" s="35" customFormat="1" hidden="1">
      <c r="A46" s="44"/>
      <c r="B46" s="44"/>
      <c r="C46" s="44"/>
      <c r="D46" s="44"/>
      <c r="E46" s="42"/>
      <c r="F46" s="44"/>
      <c r="G46" s="44"/>
      <c r="H46" s="42"/>
      <c r="I46" s="44"/>
      <c r="J46" s="42"/>
      <c r="K46" s="42"/>
      <c r="L46" s="44"/>
      <c r="M46" s="51"/>
      <c r="N46" s="52"/>
      <c r="O46" s="52"/>
      <c r="P46" s="75"/>
      <c r="Q46" s="58"/>
      <c r="R46" s="44"/>
      <c r="S46" s="53"/>
      <c r="T46" s="58"/>
      <c r="U46" s="58"/>
      <c r="V46" s="44"/>
      <c r="W46" s="44"/>
      <c r="X46" s="42"/>
      <c r="Y46" s="44"/>
      <c r="Z46" s="44"/>
      <c r="AA46" s="44"/>
      <c r="AB46" s="44"/>
    </row>
    <row r="47" spans="1:28" s="35" customFormat="1" hidden="1">
      <c r="A47" s="44"/>
      <c r="B47" s="44"/>
      <c r="C47" s="44"/>
      <c r="D47" s="44"/>
      <c r="E47" s="42"/>
      <c r="F47" s="44"/>
      <c r="G47" s="44"/>
      <c r="H47" s="42"/>
      <c r="I47" s="44"/>
      <c r="J47" s="42"/>
      <c r="K47" s="42"/>
      <c r="L47" s="44"/>
      <c r="M47" s="51"/>
      <c r="N47" s="52"/>
      <c r="O47" s="52"/>
      <c r="P47" s="75"/>
      <c r="Q47" s="58"/>
      <c r="R47" s="44"/>
      <c r="S47" s="53"/>
      <c r="T47" s="58"/>
      <c r="U47" s="58"/>
      <c r="V47" s="44"/>
      <c r="W47" s="44"/>
      <c r="X47" s="42"/>
      <c r="Y47" s="44"/>
      <c r="Z47" s="44"/>
      <c r="AA47" s="44"/>
      <c r="AB47" s="44"/>
    </row>
    <row r="48" spans="1:28" s="34" customFormat="1" ht="56" hidden="1">
      <c r="A48" s="43">
        <v>3</v>
      </c>
      <c r="B48" s="43">
        <f t="shared" ref="B48:G48" si="0">B26</f>
        <v>0</v>
      </c>
      <c r="C48" s="43">
        <f t="shared" si="0"/>
        <v>0</v>
      </c>
      <c r="D48" s="43">
        <f t="shared" si="0"/>
        <v>0</v>
      </c>
      <c r="E48" s="71">
        <f t="shared" si="0"/>
        <v>0</v>
      </c>
      <c r="F48" s="43">
        <f t="shared" si="0"/>
        <v>0</v>
      </c>
      <c r="G48" s="43">
        <f t="shared" si="0"/>
        <v>0</v>
      </c>
      <c r="H48" s="71" t="s">
        <v>65</v>
      </c>
      <c r="I48" s="43" t="s">
        <v>57</v>
      </c>
      <c r="J48" s="71" t="s">
        <v>66</v>
      </c>
      <c r="K48" s="71"/>
      <c r="L48" s="43"/>
      <c r="M48" s="49"/>
      <c r="N48" s="50"/>
      <c r="O48" s="50"/>
      <c r="P48" s="76"/>
      <c r="Q48" s="55">
        <f>SUM(Q49:Q69)</f>
        <v>0</v>
      </c>
      <c r="R48" s="43"/>
      <c r="S48" s="43"/>
      <c r="T48" s="43">
        <f>SUM(T49:T69)</f>
        <v>0</v>
      </c>
      <c r="U48" s="56"/>
      <c r="V48" s="50"/>
      <c r="W48" s="43"/>
      <c r="X48" s="79"/>
      <c r="Y48" s="43">
        <f>ROUNDUP(IF((O48-N48+1)*K48*X48/365&gt;R48,R48,(O48-N48+1)*K48*X48/365),2)</f>
        <v>0</v>
      </c>
      <c r="Z48" s="63"/>
      <c r="AA48" s="63"/>
      <c r="AB48" s="43"/>
    </row>
    <row r="49" spans="1:28" s="35" customFormat="1" hidden="1">
      <c r="A49" s="44"/>
      <c r="B49" s="44"/>
      <c r="C49" s="44"/>
      <c r="D49" s="44"/>
      <c r="E49" s="42"/>
      <c r="F49" s="44"/>
      <c r="G49" s="44"/>
      <c r="H49" s="42"/>
      <c r="I49" s="44"/>
      <c r="J49" s="42"/>
      <c r="K49" s="42"/>
      <c r="L49" s="44"/>
      <c r="M49" s="51"/>
      <c r="N49" s="52"/>
      <c r="O49" s="52"/>
      <c r="P49" s="75"/>
      <c r="Q49" s="58"/>
      <c r="R49" s="44"/>
      <c r="S49" s="53">
        <f>P49</f>
        <v>0</v>
      </c>
      <c r="T49" s="58">
        <f>(S49-N48)/360*$U$48*$K$48</f>
        <v>0</v>
      </c>
      <c r="U49" s="58">
        <f>T49-Q49</f>
        <v>0</v>
      </c>
      <c r="V49" s="52"/>
      <c r="W49" s="44"/>
      <c r="X49" s="42"/>
      <c r="Y49" s="44"/>
      <c r="Z49" s="44"/>
      <c r="AA49" s="44"/>
      <c r="AB49" s="44"/>
    </row>
    <row r="50" spans="1:28" s="35" customFormat="1" hidden="1">
      <c r="A50" s="44"/>
      <c r="B50" s="44"/>
      <c r="C50" s="44"/>
      <c r="D50" s="44"/>
      <c r="E50" s="42"/>
      <c r="F50" s="44"/>
      <c r="G50" s="44"/>
      <c r="H50" s="42"/>
      <c r="I50" s="44"/>
      <c r="J50" s="42"/>
      <c r="K50" s="42"/>
      <c r="L50" s="44"/>
      <c r="M50" s="51"/>
      <c r="N50" s="52"/>
      <c r="O50" s="52"/>
      <c r="P50" s="75"/>
      <c r="Q50" s="58"/>
      <c r="R50" s="44"/>
      <c r="S50" s="53">
        <f>P50</f>
        <v>0</v>
      </c>
      <c r="T50" s="58">
        <f>(S50-S49)*$U$48*$K$48/360</f>
        <v>0</v>
      </c>
      <c r="U50" s="58">
        <f>T50-Q50</f>
        <v>0</v>
      </c>
      <c r="V50" s="44"/>
      <c r="W50" s="44"/>
      <c r="X50" s="42"/>
      <c r="Y50" s="44"/>
      <c r="Z50" s="44"/>
      <c r="AA50" s="44"/>
      <c r="AB50" s="44"/>
    </row>
    <row r="51" spans="1:28" s="35" customFormat="1" hidden="1">
      <c r="A51" s="44"/>
      <c r="B51" s="44"/>
      <c r="C51" s="44"/>
      <c r="D51" s="44"/>
      <c r="E51" s="42"/>
      <c r="F51" s="44"/>
      <c r="G51" s="44"/>
      <c r="H51" s="42"/>
      <c r="I51" s="44"/>
      <c r="J51" s="42"/>
      <c r="K51" s="42"/>
      <c r="L51" s="44"/>
      <c r="M51" s="51"/>
      <c r="N51" s="52"/>
      <c r="O51" s="52"/>
      <c r="P51" s="75"/>
      <c r="Q51" s="58"/>
      <c r="R51" s="44"/>
      <c r="S51" s="53"/>
      <c r="T51" s="58"/>
      <c r="U51" s="58"/>
      <c r="V51" s="44"/>
      <c r="W51" s="44"/>
      <c r="X51" s="42"/>
      <c r="Y51" s="44"/>
      <c r="Z51" s="44"/>
      <c r="AA51" s="44"/>
      <c r="AB51" s="44"/>
    </row>
    <row r="52" spans="1:28" s="35" customFormat="1" hidden="1">
      <c r="A52" s="44"/>
      <c r="B52" s="44"/>
      <c r="C52" s="44"/>
      <c r="D52" s="44"/>
      <c r="E52" s="42"/>
      <c r="F52" s="44"/>
      <c r="G52" s="44"/>
      <c r="H52" s="42"/>
      <c r="I52" s="44"/>
      <c r="J52" s="42"/>
      <c r="K52" s="42"/>
      <c r="L52" s="44"/>
      <c r="M52" s="51"/>
      <c r="N52" s="52"/>
      <c r="O52" s="52"/>
      <c r="P52" s="75"/>
      <c r="Q52" s="58"/>
      <c r="R52" s="44"/>
      <c r="S52" s="53"/>
      <c r="T52" s="58"/>
      <c r="U52" s="58"/>
      <c r="V52" s="44"/>
      <c r="W52" s="44"/>
      <c r="X52" s="42"/>
      <c r="Y52" s="44"/>
      <c r="Z52" s="44"/>
      <c r="AA52" s="44"/>
      <c r="AB52" s="44"/>
    </row>
    <row r="53" spans="1:28" s="35" customFormat="1" hidden="1">
      <c r="A53" s="44"/>
      <c r="B53" s="44"/>
      <c r="C53" s="44"/>
      <c r="D53" s="44"/>
      <c r="E53" s="42"/>
      <c r="F53" s="44"/>
      <c r="G53" s="44"/>
      <c r="H53" s="42"/>
      <c r="I53" s="44"/>
      <c r="J53" s="42"/>
      <c r="K53" s="42"/>
      <c r="L53" s="44"/>
      <c r="M53" s="51"/>
      <c r="N53" s="52"/>
      <c r="O53" s="52"/>
      <c r="P53" s="75"/>
      <c r="Q53" s="58"/>
      <c r="R53" s="44"/>
      <c r="S53" s="53"/>
      <c r="T53" s="58"/>
      <c r="U53" s="58"/>
      <c r="V53" s="44"/>
      <c r="W53" s="44"/>
      <c r="X53" s="42"/>
      <c r="Y53" s="44"/>
      <c r="Z53" s="44"/>
      <c r="AA53" s="44"/>
      <c r="AB53" s="44"/>
    </row>
    <row r="54" spans="1:28" s="35" customFormat="1" hidden="1">
      <c r="A54" s="44"/>
      <c r="B54" s="44"/>
      <c r="C54" s="44"/>
      <c r="D54" s="44"/>
      <c r="E54" s="42"/>
      <c r="F54" s="44"/>
      <c r="G54" s="44"/>
      <c r="H54" s="42"/>
      <c r="I54" s="44"/>
      <c r="J54" s="42"/>
      <c r="K54" s="42"/>
      <c r="L54" s="44"/>
      <c r="M54" s="51"/>
      <c r="N54" s="52"/>
      <c r="O54" s="52"/>
      <c r="P54" s="75"/>
      <c r="Q54" s="58"/>
      <c r="R54" s="44"/>
      <c r="S54" s="53"/>
      <c r="T54" s="58"/>
      <c r="U54" s="58"/>
      <c r="V54" s="44"/>
      <c r="W54" s="44"/>
      <c r="X54" s="42"/>
      <c r="Y54" s="44"/>
      <c r="Z54" s="44"/>
      <c r="AA54" s="44"/>
      <c r="AB54" s="44"/>
    </row>
    <row r="55" spans="1:28" s="35" customFormat="1" hidden="1">
      <c r="A55" s="44"/>
      <c r="B55" s="44"/>
      <c r="C55" s="44"/>
      <c r="D55" s="44"/>
      <c r="E55" s="42"/>
      <c r="F55" s="44"/>
      <c r="G55" s="44"/>
      <c r="H55" s="42"/>
      <c r="I55" s="44"/>
      <c r="J55" s="42"/>
      <c r="K55" s="42"/>
      <c r="L55" s="44"/>
      <c r="M55" s="51"/>
      <c r="N55" s="52"/>
      <c r="O55" s="52"/>
      <c r="P55" s="75"/>
      <c r="Q55" s="58"/>
      <c r="R55" s="44"/>
      <c r="S55" s="53"/>
      <c r="T55" s="58"/>
      <c r="U55" s="58"/>
      <c r="V55" s="44"/>
      <c r="W55" s="44"/>
      <c r="X55" s="42"/>
      <c r="Y55" s="44"/>
      <c r="Z55" s="44"/>
      <c r="AA55" s="44"/>
      <c r="AB55" s="44"/>
    </row>
    <row r="56" spans="1:28" s="35" customFormat="1" hidden="1">
      <c r="A56" s="44"/>
      <c r="B56" s="44"/>
      <c r="C56" s="44"/>
      <c r="D56" s="44"/>
      <c r="E56" s="42"/>
      <c r="F56" s="44"/>
      <c r="G56" s="44"/>
      <c r="H56" s="42"/>
      <c r="I56" s="44"/>
      <c r="J56" s="42"/>
      <c r="K56" s="42"/>
      <c r="L56" s="44"/>
      <c r="M56" s="51"/>
      <c r="N56" s="52"/>
      <c r="O56" s="52"/>
      <c r="P56" s="75"/>
      <c r="Q56" s="58"/>
      <c r="R56" s="44"/>
      <c r="S56" s="53"/>
      <c r="T56" s="58"/>
      <c r="U56" s="58"/>
      <c r="V56" s="44"/>
      <c r="W56" s="44"/>
      <c r="X56" s="42"/>
      <c r="Y56" s="44"/>
      <c r="Z56" s="44"/>
      <c r="AA56" s="44"/>
      <c r="AB56" s="44"/>
    </row>
    <row r="57" spans="1:28" s="35" customFormat="1" hidden="1">
      <c r="A57" s="44"/>
      <c r="B57" s="44"/>
      <c r="C57" s="44"/>
      <c r="D57" s="44"/>
      <c r="E57" s="42"/>
      <c r="F57" s="44"/>
      <c r="G57" s="44"/>
      <c r="H57" s="42"/>
      <c r="I57" s="44"/>
      <c r="J57" s="42"/>
      <c r="K57" s="42"/>
      <c r="L57" s="44"/>
      <c r="M57" s="51"/>
      <c r="N57" s="52"/>
      <c r="O57" s="52"/>
      <c r="P57" s="75"/>
      <c r="Q57" s="58"/>
      <c r="R57" s="44"/>
      <c r="S57" s="53"/>
      <c r="T57" s="58"/>
      <c r="U57" s="58"/>
      <c r="V57" s="44"/>
      <c r="W57" s="44"/>
      <c r="X57" s="42"/>
      <c r="Y57" s="44"/>
      <c r="Z57" s="44"/>
      <c r="AA57" s="44"/>
      <c r="AB57" s="44"/>
    </row>
    <row r="58" spans="1:28" s="35" customFormat="1" hidden="1">
      <c r="A58" s="44"/>
      <c r="B58" s="44"/>
      <c r="C58" s="44"/>
      <c r="D58" s="44"/>
      <c r="E58" s="42"/>
      <c r="F58" s="44"/>
      <c r="G58" s="44"/>
      <c r="H58" s="42"/>
      <c r="I58" s="44"/>
      <c r="J58" s="42"/>
      <c r="K58" s="42"/>
      <c r="L58" s="44"/>
      <c r="M58" s="51"/>
      <c r="N58" s="52"/>
      <c r="O58" s="52"/>
      <c r="P58" s="75"/>
      <c r="Q58" s="58"/>
      <c r="R58" s="44"/>
      <c r="S58" s="53"/>
      <c r="T58" s="58"/>
      <c r="U58" s="58"/>
      <c r="V58" s="44"/>
      <c r="W58" s="44"/>
      <c r="X58" s="42"/>
      <c r="Y58" s="44"/>
      <c r="Z58" s="44"/>
      <c r="AA58" s="44"/>
      <c r="AB58" s="44"/>
    </row>
    <row r="59" spans="1:28" s="35" customFormat="1" hidden="1">
      <c r="A59" s="44"/>
      <c r="B59" s="44"/>
      <c r="C59" s="44"/>
      <c r="D59" s="44"/>
      <c r="E59" s="42"/>
      <c r="F59" s="44"/>
      <c r="G59" s="44"/>
      <c r="H59" s="42"/>
      <c r="I59" s="44"/>
      <c r="J59" s="42"/>
      <c r="K59" s="42"/>
      <c r="L59" s="44"/>
      <c r="M59" s="51"/>
      <c r="N59" s="52"/>
      <c r="O59" s="52"/>
      <c r="P59" s="75"/>
      <c r="Q59" s="58"/>
      <c r="R59" s="44"/>
      <c r="S59" s="53"/>
      <c r="T59" s="58"/>
      <c r="U59" s="58"/>
      <c r="V59" s="44"/>
      <c r="W59" s="44"/>
      <c r="X59" s="42"/>
      <c r="Y59" s="44"/>
      <c r="Z59" s="44"/>
      <c r="AA59" s="44"/>
      <c r="AB59" s="44"/>
    </row>
    <row r="60" spans="1:28" s="35" customFormat="1" hidden="1">
      <c r="A60" s="44"/>
      <c r="B60" s="44"/>
      <c r="C60" s="44"/>
      <c r="D60" s="44"/>
      <c r="E60" s="42"/>
      <c r="F60" s="44"/>
      <c r="G60" s="44"/>
      <c r="H60" s="42"/>
      <c r="I60" s="44"/>
      <c r="J60" s="42"/>
      <c r="K60" s="42"/>
      <c r="L60" s="44"/>
      <c r="M60" s="51"/>
      <c r="N60" s="52"/>
      <c r="O60" s="52"/>
      <c r="P60" s="75"/>
      <c r="Q60" s="58"/>
      <c r="R60" s="44"/>
      <c r="S60" s="53"/>
      <c r="T60" s="58"/>
      <c r="U60" s="58"/>
      <c r="V60" s="44"/>
      <c r="W60" s="44"/>
      <c r="X60" s="42"/>
      <c r="Y60" s="44"/>
      <c r="Z60" s="44"/>
      <c r="AA60" s="44"/>
      <c r="AB60" s="44"/>
    </row>
    <row r="61" spans="1:28" s="35" customFormat="1" hidden="1">
      <c r="A61" s="44"/>
      <c r="B61" s="44"/>
      <c r="C61" s="44"/>
      <c r="D61" s="44"/>
      <c r="E61" s="42"/>
      <c r="F61" s="44"/>
      <c r="G61" s="44"/>
      <c r="H61" s="42"/>
      <c r="I61" s="44"/>
      <c r="J61" s="42"/>
      <c r="K61" s="42"/>
      <c r="L61" s="44"/>
      <c r="M61" s="51"/>
      <c r="N61" s="52"/>
      <c r="O61" s="52"/>
      <c r="P61" s="75"/>
      <c r="Q61" s="58"/>
      <c r="R61" s="44"/>
      <c r="S61" s="53"/>
      <c r="T61" s="58"/>
      <c r="U61" s="58"/>
      <c r="V61" s="44"/>
      <c r="W61" s="44"/>
      <c r="X61" s="42"/>
      <c r="Y61" s="44"/>
      <c r="Z61" s="44"/>
      <c r="AA61" s="44"/>
      <c r="AB61" s="44"/>
    </row>
    <row r="62" spans="1:28" s="35" customFormat="1" hidden="1">
      <c r="A62" s="44"/>
      <c r="B62" s="44"/>
      <c r="C62" s="44"/>
      <c r="D62" s="44"/>
      <c r="E62" s="42"/>
      <c r="F62" s="44"/>
      <c r="G62" s="44"/>
      <c r="H62" s="42"/>
      <c r="I62" s="44"/>
      <c r="J62" s="42"/>
      <c r="K62" s="42"/>
      <c r="L62" s="44"/>
      <c r="M62" s="51"/>
      <c r="N62" s="52"/>
      <c r="O62" s="52"/>
      <c r="P62" s="75"/>
      <c r="Q62" s="58"/>
      <c r="R62" s="44"/>
      <c r="S62" s="53"/>
      <c r="T62" s="58"/>
      <c r="U62" s="58"/>
      <c r="V62" s="44"/>
      <c r="W62" s="44"/>
      <c r="X62" s="42"/>
      <c r="Y62" s="44"/>
      <c r="Z62" s="44"/>
      <c r="AA62" s="44"/>
      <c r="AB62" s="44"/>
    </row>
    <row r="63" spans="1:28" s="35" customFormat="1" hidden="1">
      <c r="A63" s="44"/>
      <c r="B63" s="44"/>
      <c r="C63" s="44"/>
      <c r="D63" s="44"/>
      <c r="E63" s="42"/>
      <c r="F63" s="44"/>
      <c r="G63" s="44"/>
      <c r="H63" s="42"/>
      <c r="I63" s="44"/>
      <c r="J63" s="42"/>
      <c r="K63" s="42"/>
      <c r="L63" s="44"/>
      <c r="M63" s="51"/>
      <c r="N63" s="52"/>
      <c r="O63" s="52"/>
      <c r="P63" s="75"/>
      <c r="Q63" s="58"/>
      <c r="R63" s="44"/>
      <c r="S63" s="53"/>
      <c r="T63" s="58"/>
      <c r="U63" s="58"/>
      <c r="V63" s="44"/>
      <c r="W63" s="44"/>
      <c r="X63" s="42"/>
      <c r="Y63" s="44"/>
      <c r="Z63" s="44"/>
      <c r="AA63" s="44"/>
      <c r="AB63" s="44"/>
    </row>
    <row r="64" spans="1:28" s="35" customFormat="1" hidden="1">
      <c r="A64" s="44"/>
      <c r="B64" s="44"/>
      <c r="C64" s="44"/>
      <c r="D64" s="44"/>
      <c r="E64" s="42"/>
      <c r="F64" s="44"/>
      <c r="G64" s="44"/>
      <c r="H64" s="42"/>
      <c r="I64" s="44"/>
      <c r="J64" s="42"/>
      <c r="K64" s="42"/>
      <c r="L64" s="44"/>
      <c r="M64" s="51"/>
      <c r="N64" s="52"/>
      <c r="O64" s="52"/>
      <c r="P64" s="75"/>
      <c r="Q64" s="58"/>
      <c r="R64" s="44"/>
      <c r="S64" s="53"/>
      <c r="T64" s="58"/>
      <c r="U64" s="58"/>
      <c r="V64" s="44"/>
      <c r="W64" s="44"/>
      <c r="X64" s="42"/>
      <c r="Y64" s="44"/>
      <c r="Z64" s="44"/>
      <c r="AA64" s="44"/>
      <c r="AB64" s="44"/>
    </row>
    <row r="65" spans="1:28" s="35" customFormat="1" hidden="1">
      <c r="A65" s="44"/>
      <c r="B65" s="44"/>
      <c r="C65" s="44"/>
      <c r="D65" s="44"/>
      <c r="E65" s="42"/>
      <c r="F65" s="44"/>
      <c r="G65" s="44"/>
      <c r="H65" s="42"/>
      <c r="I65" s="44"/>
      <c r="J65" s="42"/>
      <c r="K65" s="42"/>
      <c r="L65" s="44"/>
      <c r="M65" s="51"/>
      <c r="N65" s="52"/>
      <c r="O65" s="52"/>
      <c r="P65" s="75"/>
      <c r="Q65" s="58"/>
      <c r="R65" s="44"/>
      <c r="S65" s="53"/>
      <c r="T65" s="58"/>
      <c r="U65" s="58"/>
      <c r="V65" s="44"/>
      <c r="W65" s="44"/>
      <c r="X65" s="42"/>
      <c r="Y65" s="44"/>
      <c r="Z65" s="44"/>
      <c r="AA65" s="44"/>
      <c r="AB65" s="44"/>
    </row>
    <row r="66" spans="1:28" s="35" customFormat="1" hidden="1">
      <c r="A66" s="44"/>
      <c r="B66" s="44"/>
      <c r="C66" s="44"/>
      <c r="D66" s="44"/>
      <c r="E66" s="42"/>
      <c r="F66" s="44"/>
      <c r="G66" s="44"/>
      <c r="H66" s="42"/>
      <c r="I66" s="44"/>
      <c r="J66" s="42"/>
      <c r="K66" s="42"/>
      <c r="L66" s="44"/>
      <c r="M66" s="51"/>
      <c r="N66" s="52"/>
      <c r="O66" s="52"/>
      <c r="P66" s="75"/>
      <c r="Q66" s="58"/>
      <c r="R66" s="44"/>
      <c r="S66" s="53"/>
      <c r="T66" s="58"/>
      <c r="U66" s="58"/>
      <c r="V66" s="44"/>
      <c r="W66" s="44"/>
      <c r="X66" s="42"/>
      <c r="Y66" s="44"/>
      <c r="Z66" s="44"/>
      <c r="AA66" s="44"/>
      <c r="AB66" s="44"/>
    </row>
    <row r="67" spans="1:28" s="35" customFormat="1" hidden="1">
      <c r="A67" s="44"/>
      <c r="B67" s="44"/>
      <c r="C67" s="44"/>
      <c r="D67" s="44"/>
      <c r="E67" s="42"/>
      <c r="F67" s="44"/>
      <c r="G67" s="44"/>
      <c r="H67" s="42"/>
      <c r="I67" s="44"/>
      <c r="J67" s="42"/>
      <c r="K67" s="42"/>
      <c r="L67" s="44"/>
      <c r="M67" s="51"/>
      <c r="N67" s="52"/>
      <c r="O67" s="52"/>
      <c r="P67" s="75"/>
      <c r="Q67" s="58"/>
      <c r="R67" s="44"/>
      <c r="S67" s="53"/>
      <c r="T67" s="58"/>
      <c r="U67" s="58"/>
      <c r="V67" s="44"/>
      <c r="W67" s="44"/>
      <c r="X67" s="42"/>
      <c r="Y67" s="44"/>
      <c r="Z67" s="44"/>
      <c r="AA67" s="44"/>
      <c r="AB67" s="44"/>
    </row>
    <row r="68" spans="1:28" s="35" customFormat="1" hidden="1">
      <c r="A68" s="44"/>
      <c r="B68" s="44"/>
      <c r="C68" s="44"/>
      <c r="D68" s="44"/>
      <c r="E68" s="42"/>
      <c r="F68" s="44"/>
      <c r="G68" s="44"/>
      <c r="H68" s="42"/>
      <c r="I68" s="44"/>
      <c r="J68" s="42"/>
      <c r="K68" s="42"/>
      <c r="L68" s="44"/>
      <c r="M68" s="51"/>
      <c r="N68" s="52"/>
      <c r="O68" s="52"/>
      <c r="P68" s="75"/>
      <c r="Q68" s="58"/>
      <c r="R68" s="44"/>
      <c r="S68" s="53"/>
      <c r="T68" s="58"/>
      <c r="U68" s="58"/>
      <c r="V68" s="44"/>
      <c r="W68" s="44"/>
      <c r="X68" s="42"/>
      <c r="Y68" s="44"/>
      <c r="Z68" s="44"/>
      <c r="AA68" s="44"/>
      <c r="AB68" s="44"/>
    </row>
    <row r="69" spans="1:28" s="35" customFormat="1" hidden="1">
      <c r="A69" s="44"/>
      <c r="B69" s="44"/>
      <c r="C69" s="44"/>
      <c r="D69" s="44"/>
      <c r="E69" s="42"/>
      <c r="F69" s="44"/>
      <c r="G69" s="44"/>
      <c r="H69" s="42"/>
      <c r="I69" s="44"/>
      <c r="J69" s="42"/>
      <c r="K69" s="42"/>
      <c r="L69" s="44"/>
      <c r="M69" s="51"/>
      <c r="N69" s="52"/>
      <c r="O69" s="52"/>
      <c r="P69" s="75"/>
      <c r="Q69" s="58"/>
      <c r="R69" s="44"/>
      <c r="S69" s="53"/>
      <c r="T69" s="58"/>
      <c r="U69" s="58"/>
      <c r="V69" s="44"/>
      <c r="W69" s="44"/>
      <c r="X69" s="42"/>
      <c r="Y69" s="44"/>
      <c r="Z69" s="44"/>
      <c r="AA69" s="44"/>
      <c r="AB69" s="44"/>
    </row>
    <row r="70" spans="1:28" s="34" customFormat="1" hidden="1">
      <c r="A70" s="43">
        <v>4</v>
      </c>
      <c r="B70" s="43">
        <f t="shared" ref="B70:G70" si="1">B48</f>
        <v>0</v>
      </c>
      <c r="C70" s="43">
        <f t="shared" si="1"/>
        <v>0</v>
      </c>
      <c r="D70" s="43">
        <f t="shared" si="1"/>
        <v>0</v>
      </c>
      <c r="E70" s="71">
        <f t="shared" si="1"/>
        <v>0</v>
      </c>
      <c r="F70" s="43">
        <f t="shared" si="1"/>
        <v>0</v>
      </c>
      <c r="G70" s="43">
        <f t="shared" si="1"/>
        <v>0</v>
      </c>
      <c r="H70" s="71"/>
      <c r="I70" s="43"/>
      <c r="J70" s="71"/>
      <c r="K70" s="71"/>
      <c r="L70" s="43"/>
      <c r="M70" s="49"/>
      <c r="N70" s="50"/>
      <c r="O70" s="50"/>
      <c r="P70" s="76"/>
      <c r="Q70" s="55">
        <f>SUM(Q71:Q91)</f>
        <v>0</v>
      </c>
      <c r="R70" s="43"/>
      <c r="S70" s="43"/>
      <c r="T70" s="43">
        <f>SUM(T71:T91)</f>
        <v>0</v>
      </c>
      <c r="U70" s="43"/>
      <c r="V70" s="50"/>
      <c r="W70" s="43"/>
      <c r="X70" s="81"/>
      <c r="Y70" s="43">
        <f>ROUNDUP(IF((O70-N70+1)*K70*X70/365&gt;R70,R70,(O70-N70+1)*K70*X70/365),2)</f>
        <v>0</v>
      </c>
      <c r="Z70" s="43"/>
      <c r="AA70" s="43"/>
      <c r="AB70" s="43"/>
    </row>
    <row r="71" spans="1:28" s="35" customFormat="1" hidden="1">
      <c r="A71" s="44"/>
      <c r="B71" s="44"/>
      <c r="C71" s="44"/>
      <c r="D71" s="44"/>
      <c r="E71" s="42"/>
      <c r="F71" s="44"/>
      <c r="G71" s="44"/>
      <c r="H71" s="42"/>
      <c r="I71" s="44"/>
      <c r="J71" s="42"/>
      <c r="K71" s="42"/>
      <c r="L71" s="44"/>
      <c r="M71" s="51"/>
      <c r="N71" s="52"/>
      <c r="O71" s="52"/>
      <c r="P71" s="75"/>
      <c r="Q71" s="58"/>
      <c r="R71" s="44"/>
      <c r="S71" s="53"/>
      <c r="T71" s="58"/>
      <c r="U71" s="58"/>
      <c r="V71" s="52"/>
      <c r="W71" s="44"/>
      <c r="X71" s="42"/>
      <c r="Y71" s="44"/>
      <c r="Z71" s="44"/>
      <c r="AA71" s="44"/>
      <c r="AB71" s="44"/>
    </row>
    <row r="72" spans="1:28" s="35" customFormat="1" hidden="1">
      <c r="A72" s="44"/>
      <c r="B72" s="44"/>
      <c r="C72" s="44"/>
      <c r="D72" s="44"/>
      <c r="E72" s="42"/>
      <c r="F72" s="44"/>
      <c r="G72" s="44"/>
      <c r="H72" s="42"/>
      <c r="I72" s="44"/>
      <c r="J72" s="42"/>
      <c r="K72" s="42"/>
      <c r="L72" s="44"/>
      <c r="M72" s="51"/>
      <c r="N72" s="52"/>
      <c r="O72" s="52"/>
      <c r="P72" s="75"/>
      <c r="Q72" s="58"/>
      <c r="R72" s="44"/>
      <c r="S72" s="53"/>
      <c r="T72" s="58"/>
      <c r="U72" s="58"/>
      <c r="V72" s="44"/>
      <c r="W72" s="44"/>
      <c r="X72" s="42"/>
      <c r="Y72" s="44"/>
      <c r="Z72" s="44"/>
      <c r="AA72" s="44"/>
      <c r="AB72" s="44"/>
    </row>
    <row r="73" spans="1:28" s="35" customFormat="1" hidden="1">
      <c r="A73" s="44"/>
      <c r="B73" s="44"/>
      <c r="C73" s="44"/>
      <c r="D73" s="44"/>
      <c r="E73" s="42"/>
      <c r="F73" s="44"/>
      <c r="G73" s="44"/>
      <c r="H73" s="42"/>
      <c r="I73" s="44"/>
      <c r="J73" s="42"/>
      <c r="K73" s="42"/>
      <c r="L73" s="44"/>
      <c r="M73" s="51"/>
      <c r="N73" s="52"/>
      <c r="O73" s="52"/>
      <c r="P73" s="75"/>
      <c r="Q73" s="58"/>
      <c r="R73" s="44"/>
      <c r="S73" s="53"/>
      <c r="T73" s="58"/>
      <c r="U73" s="58"/>
      <c r="V73" s="44"/>
      <c r="W73" s="44"/>
      <c r="X73" s="42"/>
      <c r="Y73" s="44"/>
      <c r="Z73" s="44"/>
      <c r="AA73" s="44"/>
      <c r="AB73" s="44"/>
    </row>
    <row r="74" spans="1:28" s="35" customFormat="1" hidden="1">
      <c r="A74" s="44"/>
      <c r="B74" s="44"/>
      <c r="C74" s="44"/>
      <c r="D74" s="44"/>
      <c r="E74" s="42"/>
      <c r="F74" s="44"/>
      <c r="G74" s="44"/>
      <c r="H74" s="42"/>
      <c r="I74" s="44"/>
      <c r="J74" s="42"/>
      <c r="K74" s="42"/>
      <c r="L74" s="44"/>
      <c r="M74" s="51"/>
      <c r="N74" s="52"/>
      <c r="O74" s="52"/>
      <c r="P74" s="75"/>
      <c r="Q74" s="58"/>
      <c r="R74" s="44"/>
      <c r="S74" s="53"/>
      <c r="T74" s="58"/>
      <c r="U74" s="58"/>
      <c r="V74" s="44"/>
      <c r="W74" s="44"/>
      <c r="X74" s="42"/>
      <c r="Y74" s="44"/>
      <c r="Z74" s="44"/>
      <c r="AA74" s="44"/>
      <c r="AB74" s="44"/>
    </row>
    <row r="75" spans="1:28" s="35" customFormat="1" hidden="1">
      <c r="A75" s="44"/>
      <c r="B75" s="44"/>
      <c r="C75" s="44"/>
      <c r="D75" s="44"/>
      <c r="E75" s="42"/>
      <c r="F75" s="44"/>
      <c r="G75" s="44"/>
      <c r="H75" s="42"/>
      <c r="I75" s="44"/>
      <c r="J75" s="42"/>
      <c r="K75" s="42"/>
      <c r="L75" s="44"/>
      <c r="M75" s="51"/>
      <c r="N75" s="52"/>
      <c r="O75" s="52"/>
      <c r="P75" s="75"/>
      <c r="Q75" s="58"/>
      <c r="R75" s="44"/>
      <c r="S75" s="53"/>
      <c r="T75" s="58"/>
      <c r="U75" s="58"/>
      <c r="V75" s="44"/>
      <c r="W75" s="44"/>
      <c r="X75" s="42"/>
      <c r="Y75" s="44"/>
      <c r="Z75" s="44"/>
      <c r="AA75" s="44"/>
      <c r="AB75" s="44"/>
    </row>
    <row r="76" spans="1:28" s="35" customFormat="1" hidden="1">
      <c r="A76" s="44"/>
      <c r="B76" s="44"/>
      <c r="C76" s="44"/>
      <c r="D76" s="44"/>
      <c r="E76" s="42"/>
      <c r="F76" s="44"/>
      <c r="G76" s="44"/>
      <c r="H76" s="42"/>
      <c r="I76" s="44"/>
      <c r="J76" s="42"/>
      <c r="K76" s="42"/>
      <c r="L76" s="44"/>
      <c r="M76" s="51"/>
      <c r="N76" s="52"/>
      <c r="O76" s="52"/>
      <c r="P76" s="75"/>
      <c r="Q76" s="58"/>
      <c r="R76" s="44"/>
      <c r="S76" s="53"/>
      <c r="T76" s="58"/>
      <c r="U76" s="58"/>
      <c r="V76" s="44"/>
      <c r="W76" s="44"/>
      <c r="X76" s="42"/>
      <c r="Y76" s="44"/>
      <c r="Z76" s="44"/>
      <c r="AA76" s="44"/>
      <c r="AB76" s="44"/>
    </row>
    <row r="77" spans="1:28" s="35" customFormat="1" hidden="1">
      <c r="A77" s="44"/>
      <c r="B77" s="44"/>
      <c r="C77" s="44"/>
      <c r="D77" s="44"/>
      <c r="E77" s="42"/>
      <c r="F77" s="44"/>
      <c r="G77" s="44"/>
      <c r="H77" s="42"/>
      <c r="I77" s="44"/>
      <c r="J77" s="42"/>
      <c r="K77" s="42"/>
      <c r="L77" s="44"/>
      <c r="M77" s="51"/>
      <c r="N77" s="52"/>
      <c r="O77" s="52"/>
      <c r="P77" s="75"/>
      <c r="Q77" s="58"/>
      <c r="R77" s="44"/>
      <c r="S77" s="53"/>
      <c r="T77" s="58"/>
      <c r="U77" s="58"/>
      <c r="V77" s="44"/>
      <c r="W77" s="44"/>
      <c r="X77" s="42"/>
      <c r="Y77" s="44"/>
      <c r="Z77" s="44"/>
      <c r="AA77" s="44"/>
      <c r="AB77" s="44"/>
    </row>
    <row r="78" spans="1:28" s="35" customFormat="1" hidden="1">
      <c r="A78" s="44"/>
      <c r="B78" s="44"/>
      <c r="C78" s="44"/>
      <c r="D78" s="44"/>
      <c r="E78" s="42"/>
      <c r="F78" s="44"/>
      <c r="G78" s="44"/>
      <c r="H78" s="42"/>
      <c r="I78" s="44"/>
      <c r="J78" s="42"/>
      <c r="K78" s="42"/>
      <c r="L78" s="44"/>
      <c r="M78" s="51"/>
      <c r="N78" s="52"/>
      <c r="O78" s="52"/>
      <c r="P78" s="75"/>
      <c r="Q78" s="58"/>
      <c r="R78" s="44"/>
      <c r="S78" s="53"/>
      <c r="T78" s="58"/>
      <c r="U78" s="58"/>
      <c r="V78" s="44"/>
      <c r="W78" s="44"/>
      <c r="X78" s="42"/>
      <c r="Y78" s="44"/>
      <c r="Z78" s="44"/>
      <c r="AA78" s="44"/>
      <c r="AB78" s="44"/>
    </row>
    <row r="79" spans="1:28" s="35" customFormat="1" hidden="1">
      <c r="A79" s="44"/>
      <c r="B79" s="44"/>
      <c r="C79" s="44"/>
      <c r="D79" s="44"/>
      <c r="E79" s="42"/>
      <c r="F79" s="44"/>
      <c r="G79" s="44"/>
      <c r="H79" s="42"/>
      <c r="I79" s="44"/>
      <c r="J79" s="42"/>
      <c r="K79" s="42"/>
      <c r="L79" s="44"/>
      <c r="M79" s="51"/>
      <c r="N79" s="52"/>
      <c r="O79" s="52"/>
      <c r="P79" s="75"/>
      <c r="Q79" s="58"/>
      <c r="R79" s="44"/>
      <c r="S79" s="53"/>
      <c r="T79" s="58"/>
      <c r="U79" s="58"/>
      <c r="V79" s="44"/>
      <c r="W79" s="44"/>
      <c r="X79" s="42"/>
      <c r="Y79" s="44"/>
      <c r="Z79" s="44"/>
      <c r="AA79" s="44"/>
      <c r="AB79" s="44"/>
    </row>
    <row r="80" spans="1:28" s="35" customFormat="1" hidden="1">
      <c r="A80" s="44"/>
      <c r="B80" s="44"/>
      <c r="C80" s="44"/>
      <c r="D80" s="44"/>
      <c r="E80" s="42"/>
      <c r="F80" s="44"/>
      <c r="G80" s="44"/>
      <c r="H80" s="42"/>
      <c r="I80" s="44"/>
      <c r="J80" s="42"/>
      <c r="K80" s="42"/>
      <c r="L80" s="44"/>
      <c r="M80" s="51"/>
      <c r="N80" s="52"/>
      <c r="O80" s="52"/>
      <c r="P80" s="75"/>
      <c r="Q80" s="58"/>
      <c r="R80" s="44"/>
      <c r="S80" s="53"/>
      <c r="T80" s="58"/>
      <c r="U80" s="58"/>
      <c r="V80" s="44"/>
      <c r="W80" s="44"/>
      <c r="X80" s="42"/>
      <c r="Y80" s="44"/>
      <c r="Z80" s="44"/>
      <c r="AA80" s="44"/>
      <c r="AB80" s="44"/>
    </row>
    <row r="81" spans="1:28" s="35" customFormat="1" hidden="1">
      <c r="A81" s="44"/>
      <c r="B81" s="44"/>
      <c r="C81" s="44"/>
      <c r="D81" s="44"/>
      <c r="E81" s="42"/>
      <c r="F81" s="44"/>
      <c r="G81" s="44"/>
      <c r="H81" s="42"/>
      <c r="I81" s="44"/>
      <c r="J81" s="42"/>
      <c r="K81" s="42"/>
      <c r="L81" s="44"/>
      <c r="M81" s="51"/>
      <c r="N81" s="52"/>
      <c r="O81" s="52"/>
      <c r="P81" s="75"/>
      <c r="Q81" s="58"/>
      <c r="R81" s="44"/>
      <c r="S81" s="53"/>
      <c r="T81" s="58"/>
      <c r="U81" s="58"/>
      <c r="V81" s="44"/>
      <c r="W81" s="44"/>
      <c r="X81" s="42"/>
      <c r="Y81" s="44"/>
      <c r="Z81" s="44"/>
      <c r="AA81" s="44"/>
      <c r="AB81" s="44"/>
    </row>
    <row r="82" spans="1:28" s="35" customFormat="1" hidden="1">
      <c r="A82" s="44"/>
      <c r="B82" s="44"/>
      <c r="C82" s="44"/>
      <c r="D82" s="44"/>
      <c r="E82" s="42"/>
      <c r="F82" s="44"/>
      <c r="G82" s="44"/>
      <c r="H82" s="42"/>
      <c r="I82" s="44"/>
      <c r="J82" s="42"/>
      <c r="K82" s="42"/>
      <c r="L82" s="44"/>
      <c r="M82" s="51"/>
      <c r="N82" s="52"/>
      <c r="O82" s="52"/>
      <c r="P82" s="75"/>
      <c r="Q82" s="58"/>
      <c r="R82" s="44"/>
      <c r="S82" s="53"/>
      <c r="T82" s="58"/>
      <c r="U82" s="58"/>
      <c r="V82" s="44"/>
      <c r="W82" s="44"/>
      <c r="X82" s="42"/>
      <c r="Y82" s="44"/>
      <c r="Z82" s="44"/>
      <c r="AA82" s="44"/>
      <c r="AB82" s="44"/>
    </row>
    <row r="83" spans="1:28" s="35" customFormat="1" hidden="1">
      <c r="A83" s="44"/>
      <c r="B83" s="44"/>
      <c r="C83" s="44"/>
      <c r="D83" s="44"/>
      <c r="E83" s="42"/>
      <c r="F83" s="44"/>
      <c r="G83" s="44"/>
      <c r="H83" s="42"/>
      <c r="I83" s="44"/>
      <c r="J83" s="42"/>
      <c r="K83" s="42"/>
      <c r="L83" s="44"/>
      <c r="M83" s="51"/>
      <c r="N83" s="52"/>
      <c r="O83" s="52"/>
      <c r="P83" s="75"/>
      <c r="Q83" s="58"/>
      <c r="R83" s="44"/>
      <c r="S83" s="53"/>
      <c r="T83" s="58"/>
      <c r="U83" s="58"/>
      <c r="V83" s="44"/>
      <c r="W83" s="44"/>
      <c r="X83" s="42"/>
      <c r="Y83" s="44"/>
      <c r="Z83" s="44"/>
      <c r="AA83" s="44"/>
      <c r="AB83" s="44"/>
    </row>
    <row r="84" spans="1:28" s="35" customFormat="1" hidden="1">
      <c r="A84" s="44"/>
      <c r="B84" s="44"/>
      <c r="C84" s="44"/>
      <c r="D84" s="44"/>
      <c r="E84" s="42"/>
      <c r="F84" s="44"/>
      <c r="G84" s="44"/>
      <c r="H84" s="42"/>
      <c r="I84" s="44"/>
      <c r="J84" s="42"/>
      <c r="K84" s="42"/>
      <c r="L84" s="44"/>
      <c r="M84" s="51"/>
      <c r="N84" s="52"/>
      <c r="O84" s="52"/>
      <c r="P84" s="75"/>
      <c r="Q84" s="58"/>
      <c r="R84" s="44"/>
      <c r="S84" s="53"/>
      <c r="T84" s="58"/>
      <c r="U84" s="58"/>
      <c r="V84" s="44"/>
      <c r="W84" s="44"/>
      <c r="X84" s="42"/>
      <c r="Y84" s="44"/>
      <c r="Z84" s="44"/>
      <c r="AA84" s="44"/>
      <c r="AB84" s="44"/>
    </row>
    <row r="85" spans="1:28" s="35" customFormat="1" hidden="1">
      <c r="A85" s="44"/>
      <c r="B85" s="44"/>
      <c r="C85" s="44"/>
      <c r="D85" s="44"/>
      <c r="E85" s="42"/>
      <c r="F85" s="44"/>
      <c r="G85" s="44"/>
      <c r="H85" s="42"/>
      <c r="I85" s="44"/>
      <c r="J85" s="42"/>
      <c r="K85" s="42"/>
      <c r="L85" s="44"/>
      <c r="M85" s="51"/>
      <c r="N85" s="52"/>
      <c r="O85" s="52"/>
      <c r="P85" s="75"/>
      <c r="Q85" s="58"/>
      <c r="R85" s="44"/>
      <c r="S85" s="53"/>
      <c r="T85" s="58"/>
      <c r="U85" s="58"/>
      <c r="V85" s="44"/>
      <c r="W85" s="44"/>
      <c r="X85" s="42"/>
      <c r="Y85" s="44"/>
      <c r="Z85" s="44"/>
      <c r="AA85" s="44"/>
      <c r="AB85" s="44"/>
    </row>
    <row r="86" spans="1:28" s="35" customFormat="1" hidden="1">
      <c r="A86" s="44"/>
      <c r="B86" s="44"/>
      <c r="C86" s="44"/>
      <c r="D86" s="44"/>
      <c r="E86" s="42"/>
      <c r="F86" s="44"/>
      <c r="G86" s="44"/>
      <c r="H86" s="42"/>
      <c r="I86" s="44"/>
      <c r="J86" s="42"/>
      <c r="K86" s="42"/>
      <c r="L86" s="44"/>
      <c r="M86" s="51"/>
      <c r="N86" s="52"/>
      <c r="O86" s="52"/>
      <c r="P86" s="75"/>
      <c r="Q86" s="58"/>
      <c r="R86" s="44"/>
      <c r="S86" s="53"/>
      <c r="T86" s="58"/>
      <c r="U86" s="58"/>
      <c r="V86" s="44"/>
      <c r="W86" s="44"/>
      <c r="X86" s="42"/>
      <c r="Y86" s="44"/>
      <c r="Z86" s="44"/>
      <c r="AA86" s="44"/>
      <c r="AB86" s="44"/>
    </row>
    <row r="87" spans="1:28" s="35" customFormat="1" hidden="1">
      <c r="A87" s="44"/>
      <c r="B87" s="44"/>
      <c r="C87" s="44"/>
      <c r="D87" s="44"/>
      <c r="E87" s="42"/>
      <c r="F87" s="44"/>
      <c r="G87" s="44"/>
      <c r="H87" s="42"/>
      <c r="I87" s="44"/>
      <c r="J87" s="42"/>
      <c r="K87" s="42"/>
      <c r="L87" s="44"/>
      <c r="M87" s="51"/>
      <c r="N87" s="52"/>
      <c r="O87" s="52"/>
      <c r="P87" s="75"/>
      <c r="Q87" s="58"/>
      <c r="R87" s="44"/>
      <c r="S87" s="53"/>
      <c r="T87" s="58"/>
      <c r="U87" s="58"/>
      <c r="V87" s="44"/>
      <c r="W87" s="44"/>
      <c r="X87" s="42"/>
      <c r="Y87" s="44"/>
      <c r="Z87" s="44"/>
      <c r="AA87" s="44"/>
      <c r="AB87" s="44"/>
    </row>
    <row r="88" spans="1:28" s="35" customFormat="1" hidden="1">
      <c r="A88" s="44"/>
      <c r="B88" s="44"/>
      <c r="C88" s="44"/>
      <c r="D88" s="44"/>
      <c r="E88" s="42"/>
      <c r="F88" s="44"/>
      <c r="G88" s="44"/>
      <c r="H88" s="42"/>
      <c r="I88" s="44"/>
      <c r="J88" s="42"/>
      <c r="K88" s="42"/>
      <c r="L88" s="44"/>
      <c r="M88" s="51"/>
      <c r="N88" s="52"/>
      <c r="O88" s="52"/>
      <c r="P88" s="75"/>
      <c r="Q88" s="58"/>
      <c r="R88" s="44"/>
      <c r="S88" s="53"/>
      <c r="T88" s="58"/>
      <c r="U88" s="58"/>
      <c r="V88" s="44"/>
      <c r="W88" s="44"/>
      <c r="X88" s="42"/>
      <c r="Y88" s="44"/>
      <c r="Z88" s="44"/>
      <c r="AA88" s="44"/>
      <c r="AB88" s="44"/>
    </row>
    <row r="89" spans="1:28" s="35" customFormat="1" hidden="1">
      <c r="A89" s="44"/>
      <c r="B89" s="44"/>
      <c r="C89" s="44"/>
      <c r="D89" s="44"/>
      <c r="E89" s="42"/>
      <c r="F89" s="44"/>
      <c r="G89" s="44"/>
      <c r="H89" s="42"/>
      <c r="I89" s="44"/>
      <c r="J89" s="42"/>
      <c r="K89" s="42"/>
      <c r="L89" s="44"/>
      <c r="M89" s="51"/>
      <c r="N89" s="52"/>
      <c r="O89" s="52"/>
      <c r="P89" s="75"/>
      <c r="Q89" s="58"/>
      <c r="R89" s="44"/>
      <c r="S89" s="53"/>
      <c r="T89" s="58"/>
      <c r="U89" s="58"/>
      <c r="V89" s="44"/>
      <c r="W89" s="44"/>
      <c r="X89" s="42"/>
      <c r="Y89" s="44"/>
      <c r="Z89" s="44"/>
      <c r="AA89" s="44"/>
      <c r="AB89" s="44"/>
    </row>
    <row r="90" spans="1:28" s="35" customFormat="1" hidden="1">
      <c r="A90" s="44"/>
      <c r="B90" s="44"/>
      <c r="C90" s="44"/>
      <c r="D90" s="44"/>
      <c r="E90" s="42"/>
      <c r="F90" s="44"/>
      <c r="G90" s="44"/>
      <c r="H90" s="42"/>
      <c r="I90" s="44"/>
      <c r="J90" s="42"/>
      <c r="K90" s="42"/>
      <c r="L90" s="44"/>
      <c r="M90" s="51"/>
      <c r="N90" s="52"/>
      <c r="O90" s="52"/>
      <c r="P90" s="75"/>
      <c r="Q90" s="58"/>
      <c r="R90" s="44"/>
      <c r="S90" s="53"/>
      <c r="T90" s="58"/>
      <c r="U90" s="58"/>
      <c r="V90" s="44"/>
      <c r="W90" s="44"/>
      <c r="X90" s="42"/>
      <c r="Y90" s="44"/>
      <c r="Z90" s="44"/>
      <c r="AA90" s="44"/>
      <c r="AB90" s="44"/>
    </row>
    <row r="91" spans="1:28" s="35" customFormat="1" hidden="1">
      <c r="A91" s="44"/>
      <c r="B91" s="44"/>
      <c r="C91" s="44"/>
      <c r="D91" s="44"/>
      <c r="E91" s="42"/>
      <c r="F91" s="44"/>
      <c r="G91" s="44"/>
      <c r="H91" s="42"/>
      <c r="I91" s="44"/>
      <c r="J91" s="42"/>
      <c r="K91" s="42"/>
      <c r="L91" s="44"/>
      <c r="M91" s="51"/>
      <c r="N91" s="52"/>
      <c r="O91" s="52"/>
      <c r="P91" s="75"/>
      <c r="Q91" s="58"/>
      <c r="R91" s="44"/>
      <c r="S91" s="53"/>
      <c r="T91" s="58"/>
      <c r="U91" s="58"/>
      <c r="V91" s="44"/>
      <c r="W91" s="44"/>
      <c r="X91" s="42"/>
      <c r="Y91" s="44"/>
      <c r="Z91" s="44"/>
      <c r="AA91" s="44"/>
      <c r="AB91" s="44"/>
    </row>
    <row r="92" spans="1:28" s="34" customFormat="1" hidden="1">
      <c r="A92" s="43">
        <v>5</v>
      </c>
      <c r="B92" s="43">
        <f t="shared" ref="B92:G92" si="2">B70</f>
        <v>0</v>
      </c>
      <c r="C92" s="43">
        <f t="shared" si="2"/>
        <v>0</v>
      </c>
      <c r="D92" s="43">
        <f t="shared" si="2"/>
        <v>0</v>
      </c>
      <c r="E92" s="71">
        <f t="shared" si="2"/>
        <v>0</v>
      </c>
      <c r="F92" s="43">
        <f t="shared" si="2"/>
        <v>0</v>
      </c>
      <c r="G92" s="43">
        <f t="shared" si="2"/>
        <v>0</v>
      </c>
      <c r="H92" s="71"/>
      <c r="I92" s="43"/>
      <c r="J92" s="71"/>
      <c r="K92" s="71"/>
      <c r="L92" s="43"/>
      <c r="M92" s="49"/>
      <c r="N92" s="50"/>
      <c r="O92" s="50"/>
      <c r="P92" s="76"/>
      <c r="Q92" s="55">
        <f>SUM(Q93:Q113)</f>
        <v>0</v>
      </c>
      <c r="R92" s="43"/>
      <c r="S92" s="43"/>
      <c r="T92" s="43">
        <f>SUM(T93:T113)</f>
        <v>0</v>
      </c>
      <c r="U92" s="43"/>
      <c r="V92" s="50"/>
      <c r="W92" s="43"/>
      <c r="X92" s="81"/>
      <c r="Y92" s="43">
        <f>ROUNDUP(IF((O92-N92+1)*K92*X92/365&gt;R92,R92,(O92-N92+1)*K92*X92/365),2)</f>
        <v>0</v>
      </c>
      <c r="Z92" s="43"/>
      <c r="AA92" s="43"/>
      <c r="AB92" s="43"/>
    </row>
    <row r="93" spans="1:28" s="35" customFormat="1" hidden="1">
      <c r="A93" s="44"/>
      <c r="B93" s="44"/>
      <c r="C93" s="44"/>
      <c r="D93" s="44"/>
      <c r="E93" s="42"/>
      <c r="F93" s="44"/>
      <c r="G93" s="44"/>
      <c r="H93" s="42"/>
      <c r="I93" s="44"/>
      <c r="J93" s="42"/>
      <c r="K93" s="42"/>
      <c r="L93" s="44"/>
      <c r="M93" s="51"/>
      <c r="N93" s="52"/>
      <c r="O93" s="52"/>
      <c r="P93" s="75"/>
      <c r="Q93" s="58"/>
      <c r="R93" s="44"/>
      <c r="S93" s="53"/>
      <c r="T93" s="58"/>
      <c r="U93" s="58"/>
      <c r="V93" s="52"/>
      <c r="W93" s="44"/>
      <c r="X93" s="42"/>
      <c r="Y93" s="44"/>
      <c r="Z93" s="44"/>
      <c r="AA93" s="44"/>
      <c r="AB93" s="44"/>
    </row>
    <row r="94" spans="1:28" s="35" customFormat="1" hidden="1">
      <c r="A94" s="44"/>
      <c r="B94" s="44"/>
      <c r="C94" s="44"/>
      <c r="D94" s="44"/>
      <c r="E94" s="42"/>
      <c r="F94" s="44"/>
      <c r="G94" s="44"/>
      <c r="H94" s="42"/>
      <c r="I94" s="44"/>
      <c r="J94" s="42"/>
      <c r="K94" s="42"/>
      <c r="L94" s="44"/>
      <c r="M94" s="51"/>
      <c r="N94" s="52"/>
      <c r="O94" s="52"/>
      <c r="P94" s="75"/>
      <c r="Q94" s="58"/>
      <c r="R94" s="44"/>
      <c r="S94" s="53"/>
      <c r="T94" s="58"/>
      <c r="U94" s="58"/>
      <c r="V94" s="44"/>
      <c r="W94" s="44"/>
      <c r="X94" s="42"/>
      <c r="Y94" s="44"/>
      <c r="Z94" s="44"/>
      <c r="AA94" s="44"/>
      <c r="AB94" s="44"/>
    </row>
    <row r="95" spans="1:28" s="35" customFormat="1" hidden="1">
      <c r="A95" s="44"/>
      <c r="B95" s="44"/>
      <c r="C95" s="44"/>
      <c r="D95" s="44"/>
      <c r="E95" s="42"/>
      <c r="F95" s="44"/>
      <c r="G95" s="44"/>
      <c r="H95" s="42"/>
      <c r="I95" s="44"/>
      <c r="J95" s="42"/>
      <c r="K95" s="42"/>
      <c r="L95" s="44"/>
      <c r="M95" s="51"/>
      <c r="N95" s="52"/>
      <c r="O95" s="52"/>
      <c r="P95" s="75"/>
      <c r="Q95" s="58"/>
      <c r="R95" s="44"/>
      <c r="S95" s="53"/>
      <c r="T95" s="58"/>
      <c r="U95" s="58"/>
      <c r="V95" s="44"/>
      <c r="W95" s="44"/>
      <c r="X95" s="42"/>
      <c r="Y95" s="44"/>
      <c r="Z95" s="44"/>
      <c r="AA95" s="44"/>
      <c r="AB95" s="44"/>
    </row>
    <row r="96" spans="1:28" s="35" customFormat="1" hidden="1">
      <c r="A96" s="44"/>
      <c r="B96" s="44"/>
      <c r="C96" s="44"/>
      <c r="D96" s="44"/>
      <c r="E96" s="42"/>
      <c r="F96" s="44"/>
      <c r="G96" s="44"/>
      <c r="H96" s="42"/>
      <c r="I96" s="44"/>
      <c r="J96" s="42"/>
      <c r="K96" s="42"/>
      <c r="L96" s="44"/>
      <c r="M96" s="51"/>
      <c r="N96" s="52"/>
      <c r="O96" s="52"/>
      <c r="P96" s="75"/>
      <c r="Q96" s="58"/>
      <c r="R96" s="44"/>
      <c r="S96" s="53"/>
      <c r="T96" s="58"/>
      <c r="U96" s="58"/>
      <c r="V96" s="44"/>
      <c r="W96" s="44"/>
      <c r="X96" s="42"/>
      <c r="Y96" s="44"/>
      <c r="Z96" s="44"/>
      <c r="AA96" s="44"/>
      <c r="AB96" s="44"/>
    </row>
    <row r="97" spans="1:28" s="35" customFormat="1" hidden="1">
      <c r="A97" s="44"/>
      <c r="B97" s="44"/>
      <c r="C97" s="44"/>
      <c r="D97" s="44"/>
      <c r="E97" s="42"/>
      <c r="F97" s="44"/>
      <c r="G97" s="44"/>
      <c r="H97" s="42"/>
      <c r="I97" s="44"/>
      <c r="J97" s="42"/>
      <c r="K97" s="42"/>
      <c r="L97" s="44"/>
      <c r="M97" s="51"/>
      <c r="N97" s="52"/>
      <c r="O97" s="52"/>
      <c r="P97" s="75"/>
      <c r="Q97" s="58"/>
      <c r="R97" s="44"/>
      <c r="S97" s="53"/>
      <c r="T97" s="58"/>
      <c r="U97" s="58"/>
      <c r="V97" s="44"/>
      <c r="W97" s="44"/>
      <c r="X97" s="42"/>
      <c r="Y97" s="44"/>
      <c r="Z97" s="44"/>
      <c r="AA97" s="44"/>
      <c r="AB97" s="44"/>
    </row>
    <row r="98" spans="1:28" s="35" customFormat="1" hidden="1">
      <c r="A98" s="44"/>
      <c r="B98" s="44"/>
      <c r="C98" s="44"/>
      <c r="D98" s="44"/>
      <c r="E98" s="42"/>
      <c r="F98" s="44"/>
      <c r="G98" s="44"/>
      <c r="H98" s="42"/>
      <c r="I98" s="44"/>
      <c r="J98" s="42"/>
      <c r="K98" s="42"/>
      <c r="L98" s="44"/>
      <c r="M98" s="51"/>
      <c r="N98" s="52"/>
      <c r="O98" s="52"/>
      <c r="P98" s="75"/>
      <c r="Q98" s="58"/>
      <c r="R98" s="44"/>
      <c r="S98" s="53"/>
      <c r="T98" s="58"/>
      <c r="U98" s="58"/>
      <c r="V98" s="44"/>
      <c r="W98" s="44"/>
      <c r="X98" s="42"/>
      <c r="Y98" s="44"/>
      <c r="Z98" s="44"/>
      <c r="AA98" s="44"/>
      <c r="AB98" s="44"/>
    </row>
    <row r="99" spans="1:28" s="35" customFormat="1" hidden="1">
      <c r="A99" s="44"/>
      <c r="B99" s="44"/>
      <c r="C99" s="44"/>
      <c r="D99" s="44"/>
      <c r="E99" s="42"/>
      <c r="F99" s="44"/>
      <c r="G99" s="44"/>
      <c r="H99" s="42"/>
      <c r="I99" s="44"/>
      <c r="J99" s="42"/>
      <c r="K99" s="42"/>
      <c r="L99" s="44"/>
      <c r="M99" s="51"/>
      <c r="N99" s="52"/>
      <c r="O99" s="52"/>
      <c r="P99" s="75"/>
      <c r="Q99" s="58"/>
      <c r="R99" s="44"/>
      <c r="S99" s="53"/>
      <c r="T99" s="58"/>
      <c r="U99" s="58"/>
      <c r="V99" s="44"/>
      <c r="W99" s="44"/>
      <c r="X99" s="42"/>
      <c r="Y99" s="44"/>
      <c r="Z99" s="44"/>
      <c r="AA99" s="44"/>
      <c r="AB99" s="44"/>
    </row>
    <row r="100" spans="1:28" s="35" customFormat="1" hidden="1">
      <c r="A100" s="44"/>
      <c r="B100" s="44"/>
      <c r="C100" s="44"/>
      <c r="D100" s="44"/>
      <c r="E100" s="42"/>
      <c r="F100" s="44"/>
      <c r="G100" s="44"/>
      <c r="H100" s="42"/>
      <c r="I100" s="44"/>
      <c r="J100" s="42"/>
      <c r="K100" s="42"/>
      <c r="L100" s="44"/>
      <c r="M100" s="51"/>
      <c r="N100" s="52"/>
      <c r="O100" s="52"/>
      <c r="P100" s="75"/>
      <c r="Q100" s="58"/>
      <c r="R100" s="44"/>
      <c r="S100" s="53"/>
      <c r="T100" s="58"/>
      <c r="U100" s="58"/>
      <c r="V100" s="44"/>
      <c r="W100" s="44"/>
      <c r="X100" s="42"/>
      <c r="Y100" s="44"/>
      <c r="Z100" s="44"/>
      <c r="AA100" s="44"/>
      <c r="AB100" s="44"/>
    </row>
    <row r="101" spans="1:28" s="35" customFormat="1" hidden="1">
      <c r="A101" s="44"/>
      <c r="B101" s="44"/>
      <c r="C101" s="44"/>
      <c r="D101" s="44"/>
      <c r="E101" s="42"/>
      <c r="F101" s="44"/>
      <c r="G101" s="44"/>
      <c r="H101" s="42"/>
      <c r="I101" s="44"/>
      <c r="J101" s="42"/>
      <c r="K101" s="42"/>
      <c r="L101" s="44"/>
      <c r="M101" s="51"/>
      <c r="N101" s="52"/>
      <c r="O101" s="52"/>
      <c r="P101" s="75"/>
      <c r="Q101" s="58"/>
      <c r="R101" s="44"/>
      <c r="S101" s="53"/>
      <c r="T101" s="58"/>
      <c r="U101" s="58"/>
      <c r="V101" s="44"/>
      <c r="W101" s="44"/>
      <c r="X101" s="42"/>
      <c r="Y101" s="44"/>
      <c r="Z101" s="44"/>
      <c r="AA101" s="44"/>
      <c r="AB101" s="44"/>
    </row>
    <row r="102" spans="1:28" s="35" customFormat="1" hidden="1">
      <c r="A102" s="44"/>
      <c r="B102" s="44"/>
      <c r="C102" s="44"/>
      <c r="D102" s="44"/>
      <c r="E102" s="42"/>
      <c r="F102" s="44"/>
      <c r="G102" s="44"/>
      <c r="H102" s="42"/>
      <c r="I102" s="44"/>
      <c r="J102" s="42"/>
      <c r="K102" s="42"/>
      <c r="L102" s="44"/>
      <c r="M102" s="51"/>
      <c r="N102" s="52"/>
      <c r="O102" s="52"/>
      <c r="P102" s="75"/>
      <c r="Q102" s="58"/>
      <c r="R102" s="44"/>
      <c r="S102" s="53"/>
      <c r="T102" s="58"/>
      <c r="U102" s="58"/>
      <c r="V102" s="44"/>
      <c r="W102" s="44"/>
      <c r="X102" s="42"/>
      <c r="Y102" s="44"/>
      <c r="Z102" s="44"/>
      <c r="AA102" s="44"/>
      <c r="AB102" s="44"/>
    </row>
    <row r="103" spans="1:28" s="35" customFormat="1" hidden="1">
      <c r="A103" s="44"/>
      <c r="B103" s="44"/>
      <c r="C103" s="44"/>
      <c r="D103" s="44"/>
      <c r="E103" s="42"/>
      <c r="F103" s="44"/>
      <c r="G103" s="44"/>
      <c r="H103" s="42"/>
      <c r="I103" s="44"/>
      <c r="J103" s="42"/>
      <c r="K103" s="42"/>
      <c r="L103" s="44"/>
      <c r="M103" s="51"/>
      <c r="N103" s="52"/>
      <c r="O103" s="52"/>
      <c r="P103" s="75"/>
      <c r="Q103" s="58"/>
      <c r="R103" s="44"/>
      <c r="S103" s="53"/>
      <c r="T103" s="58"/>
      <c r="U103" s="58"/>
      <c r="V103" s="44"/>
      <c r="W103" s="44"/>
      <c r="X103" s="42"/>
      <c r="Y103" s="44"/>
      <c r="Z103" s="44"/>
      <c r="AA103" s="44"/>
      <c r="AB103" s="44"/>
    </row>
    <row r="104" spans="1:28" s="35" customFormat="1" hidden="1">
      <c r="A104" s="44"/>
      <c r="B104" s="44"/>
      <c r="C104" s="44"/>
      <c r="D104" s="44"/>
      <c r="E104" s="42"/>
      <c r="F104" s="44"/>
      <c r="G104" s="44"/>
      <c r="H104" s="42"/>
      <c r="I104" s="44"/>
      <c r="J104" s="42"/>
      <c r="K104" s="42"/>
      <c r="L104" s="44"/>
      <c r="M104" s="51"/>
      <c r="N104" s="52"/>
      <c r="O104" s="52"/>
      <c r="P104" s="75"/>
      <c r="Q104" s="58"/>
      <c r="R104" s="44"/>
      <c r="S104" s="53"/>
      <c r="T104" s="58"/>
      <c r="U104" s="58"/>
      <c r="V104" s="44"/>
      <c r="W104" s="44"/>
      <c r="X104" s="42"/>
      <c r="Y104" s="44"/>
      <c r="Z104" s="44"/>
      <c r="AA104" s="44"/>
      <c r="AB104" s="44"/>
    </row>
    <row r="105" spans="1:28" s="35" customFormat="1" hidden="1">
      <c r="A105" s="44"/>
      <c r="B105" s="44"/>
      <c r="C105" s="44"/>
      <c r="D105" s="44"/>
      <c r="E105" s="42"/>
      <c r="F105" s="44"/>
      <c r="G105" s="44"/>
      <c r="H105" s="42"/>
      <c r="I105" s="44"/>
      <c r="J105" s="42"/>
      <c r="K105" s="42"/>
      <c r="L105" s="44"/>
      <c r="M105" s="51"/>
      <c r="N105" s="52"/>
      <c r="O105" s="52"/>
      <c r="P105" s="75"/>
      <c r="Q105" s="58"/>
      <c r="R105" s="44"/>
      <c r="S105" s="53"/>
      <c r="T105" s="58"/>
      <c r="U105" s="58"/>
      <c r="V105" s="44"/>
      <c r="W105" s="44"/>
      <c r="X105" s="42"/>
      <c r="Y105" s="44"/>
      <c r="Z105" s="44"/>
      <c r="AA105" s="44"/>
      <c r="AB105" s="44"/>
    </row>
    <row r="106" spans="1:28" s="35" customFormat="1" hidden="1">
      <c r="A106" s="44"/>
      <c r="B106" s="44"/>
      <c r="C106" s="44"/>
      <c r="D106" s="44"/>
      <c r="E106" s="42"/>
      <c r="F106" s="44"/>
      <c r="G106" s="44"/>
      <c r="H106" s="42"/>
      <c r="I106" s="44"/>
      <c r="J106" s="42"/>
      <c r="K106" s="42"/>
      <c r="L106" s="44"/>
      <c r="M106" s="51"/>
      <c r="N106" s="52"/>
      <c r="O106" s="52"/>
      <c r="P106" s="75"/>
      <c r="Q106" s="58"/>
      <c r="R106" s="44"/>
      <c r="S106" s="53"/>
      <c r="T106" s="58"/>
      <c r="U106" s="58"/>
      <c r="V106" s="44"/>
      <c r="W106" s="44"/>
      <c r="X106" s="42"/>
      <c r="Y106" s="44"/>
      <c r="Z106" s="44"/>
      <c r="AA106" s="44"/>
      <c r="AB106" s="44"/>
    </row>
    <row r="107" spans="1:28" s="35" customFormat="1" hidden="1">
      <c r="A107" s="44"/>
      <c r="B107" s="44"/>
      <c r="C107" s="44"/>
      <c r="D107" s="44"/>
      <c r="E107" s="42"/>
      <c r="F107" s="44"/>
      <c r="G107" s="44"/>
      <c r="H107" s="42"/>
      <c r="I107" s="44"/>
      <c r="J107" s="42"/>
      <c r="K107" s="42"/>
      <c r="L107" s="44"/>
      <c r="M107" s="51"/>
      <c r="N107" s="52"/>
      <c r="O107" s="52"/>
      <c r="P107" s="75"/>
      <c r="Q107" s="58"/>
      <c r="R107" s="44"/>
      <c r="S107" s="53"/>
      <c r="T107" s="58"/>
      <c r="U107" s="58"/>
      <c r="V107" s="44"/>
      <c r="W107" s="44"/>
      <c r="X107" s="42"/>
      <c r="Y107" s="44"/>
      <c r="Z107" s="44"/>
      <c r="AA107" s="44"/>
      <c r="AB107" s="44"/>
    </row>
    <row r="108" spans="1:28" s="35" customFormat="1" hidden="1">
      <c r="A108" s="44"/>
      <c r="B108" s="44"/>
      <c r="C108" s="44"/>
      <c r="D108" s="44"/>
      <c r="E108" s="42"/>
      <c r="F108" s="44"/>
      <c r="G108" s="44"/>
      <c r="H108" s="42"/>
      <c r="I108" s="44"/>
      <c r="J108" s="42"/>
      <c r="K108" s="42"/>
      <c r="L108" s="44"/>
      <c r="M108" s="51"/>
      <c r="N108" s="52"/>
      <c r="O108" s="52"/>
      <c r="P108" s="75"/>
      <c r="Q108" s="58"/>
      <c r="R108" s="44"/>
      <c r="S108" s="53"/>
      <c r="T108" s="58"/>
      <c r="U108" s="58"/>
      <c r="V108" s="44"/>
      <c r="W108" s="44"/>
      <c r="X108" s="42"/>
      <c r="Y108" s="44"/>
      <c r="Z108" s="44"/>
      <c r="AA108" s="44"/>
      <c r="AB108" s="44"/>
    </row>
    <row r="109" spans="1:28" s="35" customFormat="1" hidden="1">
      <c r="A109" s="44"/>
      <c r="B109" s="44"/>
      <c r="C109" s="44"/>
      <c r="D109" s="44"/>
      <c r="E109" s="42"/>
      <c r="F109" s="44"/>
      <c r="G109" s="44"/>
      <c r="H109" s="42"/>
      <c r="I109" s="44"/>
      <c r="J109" s="42"/>
      <c r="K109" s="42"/>
      <c r="L109" s="44"/>
      <c r="M109" s="51"/>
      <c r="N109" s="52"/>
      <c r="O109" s="52"/>
      <c r="P109" s="75"/>
      <c r="Q109" s="58"/>
      <c r="R109" s="44"/>
      <c r="S109" s="53"/>
      <c r="T109" s="58"/>
      <c r="U109" s="58"/>
      <c r="V109" s="44"/>
      <c r="W109" s="44"/>
      <c r="X109" s="42"/>
      <c r="Y109" s="44"/>
      <c r="Z109" s="44"/>
      <c r="AA109" s="44"/>
      <c r="AB109" s="44"/>
    </row>
    <row r="110" spans="1:28" s="35" customFormat="1" hidden="1">
      <c r="A110" s="44"/>
      <c r="B110" s="44"/>
      <c r="C110" s="44"/>
      <c r="D110" s="44"/>
      <c r="E110" s="42"/>
      <c r="F110" s="44"/>
      <c r="G110" s="44"/>
      <c r="H110" s="42"/>
      <c r="I110" s="44"/>
      <c r="J110" s="42"/>
      <c r="K110" s="42"/>
      <c r="L110" s="44"/>
      <c r="M110" s="51"/>
      <c r="N110" s="52"/>
      <c r="O110" s="52"/>
      <c r="P110" s="75"/>
      <c r="Q110" s="58"/>
      <c r="R110" s="44"/>
      <c r="S110" s="53"/>
      <c r="T110" s="58"/>
      <c r="U110" s="58"/>
      <c r="V110" s="44"/>
      <c r="W110" s="44"/>
      <c r="X110" s="42"/>
      <c r="Y110" s="44"/>
      <c r="Z110" s="44"/>
      <c r="AA110" s="44"/>
      <c r="AB110" s="44"/>
    </row>
    <row r="111" spans="1:28" s="35" customFormat="1" hidden="1">
      <c r="A111" s="44"/>
      <c r="B111" s="44"/>
      <c r="C111" s="44"/>
      <c r="D111" s="44"/>
      <c r="E111" s="42"/>
      <c r="F111" s="44"/>
      <c r="G111" s="44"/>
      <c r="H111" s="42"/>
      <c r="I111" s="44"/>
      <c r="J111" s="42"/>
      <c r="K111" s="42"/>
      <c r="L111" s="44"/>
      <c r="M111" s="51"/>
      <c r="N111" s="52"/>
      <c r="O111" s="52"/>
      <c r="P111" s="75"/>
      <c r="Q111" s="58"/>
      <c r="R111" s="44"/>
      <c r="S111" s="53"/>
      <c r="T111" s="58"/>
      <c r="U111" s="58"/>
      <c r="V111" s="44"/>
      <c r="W111" s="44"/>
      <c r="X111" s="42"/>
      <c r="Y111" s="44"/>
      <c r="Z111" s="44"/>
      <c r="AA111" s="44"/>
      <c r="AB111" s="44"/>
    </row>
    <row r="112" spans="1:28" s="35" customFormat="1" hidden="1">
      <c r="A112" s="44"/>
      <c r="B112" s="44"/>
      <c r="C112" s="44"/>
      <c r="D112" s="44"/>
      <c r="E112" s="42"/>
      <c r="F112" s="44"/>
      <c r="G112" s="44"/>
      <c r="H112" s="42"/>
      <c r="I112" s="44"/>
      <c r="J112" s="42"/>
      <c r="K112" s="42"/>
      <c r="L112" s="44"/>
      <c r="M112" s="51"/>
      <c r="N112" s="52"/>
      <c r="O112" s="52"/>
      <c r="P112" s="75"/>
      <c r="Q112" s="58"/>
      <c r="R112" s="44"/>
      <c r="S112" s="53"/>
      <c r="T112" s="58"/>
      <c r="U112" s="58"/>
      <c r="V112" s="44"/>
      <c r="W112" s="44"/>
      <c r="X112" s="42"/>
      <c r="Y112" s="44"/>
      <c r="Z112" s="44"/>
      <c r="AA112" s="44"/>
      <c r="AB112" s="44"/>
    </row>
    <row r="113" spans="1:28" s="35" customFormat="1" hidden="1">
      <c r="A113" s="44"/>
      <c r="B113" s="44"/>
      <c r="C113" s="44"/>
      <c r="D113" s="44"/>
      <c r="E113" s="42"/>
      <c r="F113" s="44"/>
      <c r="G113" s="44"/>
      <c r="H113" s="42"/>
      <c r="I113" s="44"/>
      <c r="J113" s="42"/>
      <c r="K113" s="42"/>
      <c r="L113" s="44"/>
      <c r="M113" s="51"/>
      <c r="N113" s="52"/>
      <c r="O113" s="52"/>
      <c r="P113" s="75"/>
      <c r="Q113" s="58"/>
      <c r="R113" s="44"/>
      <c r="S113" s="53"/>
      <c r="T113" s="58"/>
      <c r="U113" s="58"/>
      <c r="V113" s="44"/>
      <c r="W113" s="44"/>
      <c r="X113" s="42"/>
      <c r="Y113" s="44"/>
      <c r="Z113" s="44"/>
      <c r="AA113" s="44"/>
      <c r="AB113" s="44"/>
    </row>
    <row r="114" spans="1:28" s="34" customFormat="1">
      <c r="A114" s="43" t="s">
        <v>48</v>
      </c>
      <c r="B114" s="43"/>
      <c r="C114" s="43"/>
      <c r="D114" s="43"/>
      <c r="E114" s="71"/>
      <c r="F114" s="43"/>
      <c r="G114" s="43"/>
      <c r="H114" s="71"/>
      <c r="I114" s="43"/>
      <c r="J114" s="71"/>
      <c r="K114" s="71">
        <f>K92+K70+K48+K26++K4</f>
        <v>3000</v>
      </c>
      <c r="L114" s="43"/>
      <c r="M114" s="49"/>
      <c r="N114" s="50"/>
      <c r="O114" s="50"/>
      <c r="P114" s="76"/>
      <c r="Q114" s="43"/>
      <c r="R114" s="43">
        <f>R92+R70+R48+R26++R4</f>
        <v>60</v>
      </c>
      <c r="S114" s="43"/>
      <c r="T114" s="43"/>
      <c r="U114" s="43"/>
      <c r="V114" s="43"/>
      <c r="W114" s="43"/>
      <c r="X114" s="71"/>
      <c r="Y114" s="43">
        <f>Y92+Y70+Y48+Y26++Y4</f>
        <v>56.38</v>
      </c>
      <c r="Z114" s="43"/>
      <c r="AA114" s="43"/>
      <c r="AB114" s="43"/>
    </row>
    <row r="115" spans="1:28">
      <c r="I115" s="36" t="s">
        <v>49</v>
      </c>
      <c r="K115" s="72">
        <f>IF(K114&gt;3000,K116,K114)</f>
        <v>3000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D116"/>
  <sheetViews>
    <sheetView topLeftCell="M1" zoomScale="80" zoomScaleNormal="8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四川成都探矿机械有限责任公司审计明细表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56">
      <c r="A4" s="43">
        <v>1</v>
      </c>
      <c r="B4" s="43" t="s">
        <v>693</v>
      </c>
      <c r="C4" s="43" t="s">
        <v>52</v>
      </c>
      <c r="D4" s="43" t="s">
        <v>962</v>
      </c>
      <c r="E4" s="43" t="s">
        <v>963</v>
      </c>
      <c r="F4" s="43" t="s">
        <v>956</v>
      </c>
      <c r="G4" s="43" t="s">
        <v>964</v>
      </c>
      <c r="H4" s="71" t="s">
        <v>71</v>
      </c>
      <c r="I4" s="43" t="s">
        <v>72</v>
      </c>
      <c r="J4" s="71" t="s">
        <v>84</v>
      </c>
      <c r="K4" s="71">
        <v>1000</v>
      </c>
      <c r="L4" s="43" t="s">
        <v>965</v>
      </c>
      <c r="M4" s="49" t="s">
        <v>966</v>
      </c>
      <c r="N4" s="50">
        <v>44922</v>
      </c>
      <c r="O4" s="50">
        <v>45291</v>
      </c>
      <c r="P4" s="43">
        <f>P19-N4</f>
        <v>450</v>
      </c>
      <c r="Q4" s="55">
        <f>SUM(Q5:Q25)</f>
        <v>48.06</v>
      </c>
      <c r="R4" s="55">
        <v>15.16</v>
      </c>
      <c r="S4" s="43"/>
      <c r="T4" s="55">
        <f>SUM(T5:T19)</f>
        <v>48.16</v>
      </c>
      <c r="U4" s="56">
        <v>3.85E-2</v>
      </c>
      <c r="V4" s="50"/>
      <c r="W4" s="43" t="s">
        <v>42</v>
      </c>
      <c r="X4" s="57">
        <v>1.4999999999999999E-2</v>
      </c>
      <c r="Y4" s="43">
        <f>ROUNDDOWN(IF((O4-N4+1)*K4*X4/365&gt;R4,R4,(O4-N4+1)*K4*X4/365),2)</f>
        <v>15.16</v>
      </c>
      <c r="Z4" s="55">
        <f>R4-Y4</f>
        <v>0</v>
      </c>
      <c r="AA4" s="55"/>
      <c r="AB4" s="43" t="s">
        <v>61</v>
      </c>
      <c r="AD4" s="61">
        <f>(O4-N4+1)*K4*X4/365</f>
        <v>15.205500000000001</v>
      </c>
    </row>
    <row r="5" spans="1:30" s="35" customFormat="1">
      <c r="A5" s="44"/>
      <c r="B5" s="44"/>
      <c r="C5" s="44"/>
      <c r="D5" s="44"/>
      <c r="E5" s="44"/>
      <c r="F5" s="44"/>
      <c r="G5" s="44"/>
      <c r="H5" s="42"/>
      <c r="I5" s="44"/>
      <c r="J5" s="42"/>
      <c r="K5" s="42"/>
      <c r="L5" s="44"/>
      <c r="M5" s="51"/>
      <c r="N5" s="52"/>
      <c r="O5" s="50">
        <v>45652</v>
      </c>
      <c r="P5" s="75">
        <v>44947</v>
      </c>
      <c r="Q5" s="58">
        <v>2.57</v>
      </c>
      <c r="R5" s="44"/>
      <c r="S5" s="53">
        <f>P5</f>
        <v>44947</v>
      </c>
      <c r="T5" s="58">
        <f>(S5-N4)/360*$U$4*$K$4</f>
        <v>2.67</v>
      </c>
      <c r="U5" s="58">
        <f t="shared" ref="U5:U19" si="0">T5-Q5</f>
        <v>0.1</v>
      </c>
      <c r="V5" s="52"/>
      <c r="W5" s="44"/>
      <c r="X5" s="44"/>
      <c r="Y5" s="44">
        <f>ROUNDDOWN((V5-N4)*K4*X4/365,2)</f>
        <v>-1846.1</v>
      </c>
      <c r="Z5" s="44"/>
      <c r="AA5" s="44"/>
      <c r="AB5" s="44"/>
    </row>
    <row r="6" spans="1:30" s="35" customFormat="1">
      <c r="A6" s="44"/>
      <c r="B6" s="44"/>
      <c r="C6" s="44"/>
      <c r="D6" s="44"/>
      <c r="E6" s="44"/>
      <c r="F6" s="44"/>
      <c r="G6" s="44"/>
      <c r="H6" s="42"/>
      <c r="I6" s="44"/>
      <c r="J6" s="42"/>
      <c r="K6" s="42"/>
      <c r="L6" s="44"/>
      <c r="M6" s="51"/>
      <c r="N6" s="52"/>
      <c r="O6" s="52"/>
      <c r="P6" s="75">
        <v>44978</v>
      </c>
      <c r="Q6" s="58">
        <v>3.32</v>
      </c>
      <c r="R6" s="44"/>
      <c r="S6" s="75">
        <v>44978</v>
      </c>
      <c r="T6" s="58">
        <f t="shared" ref="T6:T19" si="1">(S6-S5)*$K$4*$U$4/360</f>
        <v>3.32</v>
      </c>
      <c r="U6" s="58">
        <f t="shared" si="0"/>
        <v>0</v>
      </c>
      <c r="V6" s="44"/>
      <c r="W6" s="44"/>
      <c r="X6" s="44"/>
      <c r="Y6" s="44"/>
      <c r="Z6" s="44"/>
      <c r="AA6" s="44"/>
      <c r="AB6" s="44"/>
    </row>
    <row r="7" spans="1:30" s="35" customFormat="1">
      <c r="A7" s="44"/>
      <c r="B7" s="44"/>
      <c r="C7" s="44"/>
      <c r="D7" s="44"/>
      <c r="E7" s="44"/>
      <c r="F7" s="44"/>
      <c r="G7" s="44"/>
      <c r="H7" s="42"/>
      <c r="I7" s="44"/>
      <c r="J7" s="42"/>
      <c r="K7" s="42"/>
      <c r="L7" s="44"/>
      <c r="M7" s="51"/>
      <c r="N7" s="52"/>
      <c r="O7" s="52"/>
      <c r="P7" s="75">
        <v>45006</v>
      </c>
      <c r="Q7" s="58">
        <v>2.99</v>
      </c>
      <c r="R7" s="44"/>
      <c r="S7" s="75">
        <v>45006</v>
      </c>
      <c r="T7" s="58">
        <f t="shared" si="1"/>
        <v>2.99</v>
      </c>
      <c r="U7" s="58">
        <f t="shared" si="0"/>
        <v>0</v>
      </c>
      <c r="V7" s="44"/>
      <c r="W7" s="44"/>
      <c r="X7" s="44"/>
      <c r="Y7" s="44"/>
      <c r="Z7" s="44"/>
      <c r="AA7" s="44"/>
      <c r="AB7" s="44"/>
    </row>
    <row r="8" spans="1:30" s="35" customFormat="1">
      <c r="A8" s="44"/>
      <c r="B8" s="44"/>
      <c r="C8" s="44"/>
      <c r="D8" s="44"/>
      <c r="E8" s="44"/>
      <c r="F8" s="44"/>
      <c r="G8" s="44"/>
      <c r="H8" s="42"/>
      <c r="I8" s="44"/>
      <c r="J8" s="42"/>
      <c r="K8" s="42"/>
      <c r="L8" s="44"/>
      <c r="M8" s="51"/>
      <c r="N8" s="52"/>
      <c r="O8" s="52"/>
      <c r="P8" s="75">
        <v>45037</v>
      </c>
      <c r="Q8" s="58">
        <v>3.32</v>
      </c>
      <c r="R8" s="44"/>
      <c r="S8" s="75">
        <v>45037</v>
      </c>
      <c r="T8" s="58">
        <f t="shared" si="1"/>
        <v>3.32</v>
      </c>
      <c r="U8" s="58">
        <f t="shared" si="0"/>
        <v>0</v>
      </c>
      <c r="V8" s="44"/>
      <c r="W8" s="44"/>
      <c r="X8" s="44"/>
      <c r="Y8" s="44"/>
      <c r="Z8" s="44"/>
      <c r="AA8" s="44"/>
      <c r="AB8" s="44"/>
    </row>
    <row r="9" spans="1:30" s="35" customFormat="1">
      <c r="A9" s="44"/>
      <c r="B9" s="44"/>
      <c r="C9" s="44"/>
      <c r="D9" s="44"/>
      <c r="E9" s="44"/>
      <c r="F9" s="44"/>
      <c r="G9" s="44"/>
      <c r="H9" s="42"/>
      <c r="I9" s="44"/>
      <c r="J9" s="42"/>
      <c r="K9" s="42"/>
      <c r="L9" s="44"/>
      <c r="M9" s="51"/>
      <c r="N9" s="52"/>
      <c r="O9" s="52"/>
      <c r="P9" s="75">
        <v>45067</v>
      </c>
      <c r="Q9" s="58">
        <v>3.21</v>
      </c>
      <c r="R9" s="44"/>
      <c r="S9" s="75">
        <v>45067</v>
      </c>
      <c r="T9" s="58">
        <f t="shared" si="1"/>
        <v>3.21</v>
      </c>
      <c r="U9" s="58">
        <f t="shared" si="0"/>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52"/>
      <c r="P10" s="75">
        <v>45098</v>
      </c>
      <c r="Q10" s="58">
        <v>3.32</v>
      </c>
      <c r="R10" s="44"/>
      <c r="S10" s="75">
        <v>45098</v>
      </c>
      <c r="T10" s="58">
        <f t="shared" si="1"/>
        <v>3.32</v>
      </c>
      <c r="U10" s="58">
        <f t="shared" si="0"/>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45128</v>
      </c>
      <c r="Q11" s="58">
        <v>3.21</v>
      </c>
      <c r="R11" s="44"/>
      <c r="S11" s="75">
        <v>45128</v>
      </c>
      <c r="T11" s="58">
        <f t="shared" si="1"/>
        <v>3.21</v>
      </c>
      <c r="U11" s="58">
        <f t="shared" si="0"/>
        <v>0</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45159</v>
      </c>
      <c r="Q12" s="58">
        <v>3.32</v>
      </c>
      <c r="R12" s="44"/>
      <c r="S12" s="75">
        <v>45159</v>
      </c>
      <c r="T12" s="58">
        <f t="shared" si="1"/>
        <v>3.32</v>
      </c>
      <c r="U12" s="58">
        <f t="shared" si="0"/>
        <v>0</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45190</v>
      </c>
      <c r="Q13" s="58">
        <v>3.32</v>
      </c>
      <c r="R13" s="44"/>
      <c r="S13" s="75">
        <v>45190</v>
      </c>
      <c r="T13" s="58">
        <f t="shared" si="1"/>
        <v>3.32</v>
      </c>
      <c r="U13" s="58">
        <f t="shared" si="0"/>
        <v>0</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45220</v>
      </c>
      <c r="Q14" s="58">
        <v>3.21</v>
      </c>
      <c r="R14" s="44"/>
      <c r="S14" s="75">
        <v>45220</v>
      </c>
      <c r="T14" s="58">
        <f t="shared" si="1"/>
        <v>3.21</v>
      </c>
      <c r="U14" s="58">
        <f t="shared" si="0"/>
        <v>0</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45251</v>
      </c>
      <c r="Q15" s="58">
        <v>3.32</v>
      </c>
      <c r="R15" s="44"/>
      <c r="S15" s="75">
        <v>45251</v>
      </c>
      <c r="T15" s="58">
        <f t="shared" si="1"/>
        <v>3.32</v>
      </c>
      <c r="U15" s="58">
        <f t="shared" si="0"/>
        <v>0</v>
      </c>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v>45281</v>
      </c>
      <c r="Q16" s="58">
        <v>3.21</v>
      </c>
      <c r="R16" s="44"/>
      <c r="S16" s="75">
        <v>45281</v>
      </c>
      <c r="T16" s="58">
        <f t="shared" si="1"/>
        <v>3.21</v>
      </c>
      <c r="U16" s="58">
        <f t="shared" si="0"/>
        <v>0</v>
      </c>
      <c r="V16" s="44"/>
      <c r="W16" s="44"/>
      <c r="X16" s="44"/>
      <c r="Y16" s="44"/>
      <c r="Z16" s="44"/>
      <c r="AA16" s="44"/>
      <c r="AB16" s="44"/>
    </row>
    <row r="17" spans="1:28" s="35" customFormat="1">
      <c r="A17" s="44"/>
      <c r="B17" s="44"/>
      <c r="C17" s="44"/>
      <c r="D17" s="44"/>
      <c r="E17" s="44"/>
      <c r="F17" s="44"/>
      <c r="G17" s="44"/>
      <c r="H17" s="42"/>
      <c r="I17" s="44"/>
      <c r="J17" s="42"/>
      <c r="K17" s="42"/>
      <c r="L17" s="44"/>
      <c r="M17" s="51"/>
      <c r="N17" s="52"/>
      <c r="O17" s="52"/>
      <c r="P17" s="75">
        <v>45312</v>
      </c>
      <c r="Q17" s="58">
        <v>3.32</v>
      </c>
      <c r="R17" s="44"/>
      <c r="S17" s="75">
        <v>45312</v>
      </c>
      <c r="T17" s="58">
        <f t="shared" si="1"/>
        <v>3.32</v>
      </c>
      <c r="U17" s="58">
        <f t="shared" si="0"/>
        <v>0</v>
      </c>
      <c r="V17" s="44"/>
      <c r="W17" s="44"/>
      <c r="X17" s="44"/>
      <c r="Y17" s="44"/>
      <c r="Z17" s="44"/>
      <c r="AA17" s="44"/>
      <c r="AB17" s="44"/>
    </row>
    <row r="18" spans="1:28" s="35" customFormat="1">
      <c r="A18" s="44"/>
      <c r="B18" s="44"/>
      <c r="C18" s="44"/>
      <c r="D18" s="44"/>
      <c r="E18" s="44"/>
      <c r="F18" s="44"/>
      <c r="G18" s="44"/>
      <c r="H18" s="42"/>
      <c r="I18" s="44"/>
      <c r="J18" s="42"/>
      <c r="K18" s="42"/>
      <c r="L18" s="44"/>
      <c r="M18" s="51"/>
      <c r="N18" s="52"/>
      <c r="O18" s="52"/>
      <c r="P18" s="75">
        <v>45343</v>
      </c>
      <c r="Q18" s="58">
        <v>3.32</v>
      </c>
      <c r="R18" s="44"/>
      <c r="S18" s="75">
        <v>45343</v>
      </c>
      <c r="T18" s="58">
        <f t="shared" si="1"/>
        <v>3.32</v>
      </c>
      <c r="U18" s="58">
        <f t="shared" si="0"/>
        <v>0</v>
      </c>
      <c r="V18" s="44"/>
      <c r="W18" s="44"/>
      <c r="X18" s="44"/>
      <c r="Y18" s="44"/>
      <c r="Z18" s="44"/>
      <c r="AA18" s="44"/>
      <c r="AB18" s="44"/>
    </row>
    <row r="19" spans="1:28" s="35" customFormat="1">
      <c r="A19" s="44"/>
      <c r="B19" s="44"/>
      <c r="C19" s="44"/>
      <c r="D19" s="44"/>
      <c r="E19" s="44"/>
      <c r="F19" s="44"/>
      <c r="G19" s="44"/>
      <c r="H19" s="42"/>
      <c r="I19" s="44"/>
      <c r="J19" s="42"/>
      <c r="K19" s="42"/>
      <c r="L19" s="44"/>
      <c r="M19" s="51"/>
      <c r="N19" s="52"/>
      <c r="O19" s="52"/>
      <c r="P19" s="75">
        <v>45372</v>
      </c>
      <c r="Q19" s="58">
        <v>3.1</v>
      </c>
      <c r="R19" s="44"/>
      <c r="S19" s="75">
        <v>45372</v>
      </c>
      <c r="T19" s="58">
        <f t="shared" si="1"/>
        <v>3.1</v>
      </c>
      <c r="U19" s="58">
        <f t="shared" si="0"/>
        <v>0</v>
      </c>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71"/>
      <c r="I26" s="43"/>
      <c r="J26" s="71"/>
      <c r="K26" s="71"/>
      <c r="L26" s="43"/>
      <c r="M26" s="49"/>
      <c r="N26" s="50"/>
      <c r="O26" s="50"/>
      <c r="P26" s="76"/>
      <c r="Q26" s="55"/>
      <c r="R26" s="43"/>
      <c r="S26" s="43"/>
      <c r="T26" s="43"/>
      <c r="U26" s="56"/>
      <c r="V26" s="50"/>
      <c r="W26" s="43"/>
      <c r="X26" s="57"/>
      <c r="Y26" s="43"/>
      <c r="Z26" s="43"/>
      <c r="AA26" s="43"/>
      <c r="AB26" s="43"/>
    </row>
    <row r="27" spans="1:28" s="35" customFormat="1" hidden="1">
      <c r="A27" s="44"/>
      <c r="B27" s="44"/>
      <c r="C27" s="44"/>
      <c r="D27" s="44"/>
      <c r="E27" s="44"/>
      <c r="F27" s="44"/>
      <c r="G27" s="44"/>
      <c r="H27" s="42"/>
      <c r="I27" s="44"/>
      <c r="J27" s="42"/>
      <c r="K27" s="42"/>
      <c r="L27" s="44"/>
      <c r="M27" s="51"/>
      <c r="N27" s="52"/>
      <c r="O27" s="52"/>
      <c r="P27" s="75"/>
      <c r="Q27" s="58"/>
      <c r="R27" s="44"/>
      <c r="S27" s="53"/>
      <c r="T27" s="58">
        <f>(S27-N26)/360*$U$26*$K$26</f>
        <v>0</v>
      </c>
      <c r="U27" s="58">
        <f>T27-Q27</f>
        <v>0</v>
      </c>
      <c r="V27" s="52"/>
      <c r="W27" s="44"/>
      <c r="X27" s="44"/>
      <c r="Y27" s="62">
        <f>ROUNDUP((V27-N26)*K26*X26/365,2)</f>
        <v>0</v>
      </c>
      <c r="Z27" s="44"/>
      <c r="AA27" s="44"/>
      <c r="AB27" s="44"/>
    </row>
    <row r="28" spans="1:28" s="35" customFormat="1" hidden="1">
      <c r="A28" s="44"/>
      <c r="B28" s="44"/>
      <c r="C28" s="44"/>
      <c r="D28" s="44"/>
      <c r="E28" s="44"/>
      <c r="F28" s="44"/>
      <c r="G28" s="44"/>
      <c r="H28" s="42"/>
      <c r="I28" s="44"/>
      <c r="J28" s="42"/>
      <c r="K28" s="42"/>
      <c r="L28" s="44"/>
      <c r="M28" s="51"/>
      <c r="N28" s="52"/>
      <c r="O28" s="52"/>
      <c r="P28" s="75"/>
      <c r="Q28" s="58"/>
      <c r="R28" s="44"/>
      <c r="S28" s="53"/>
      <c r="T28" s="58">
        <f>(S28-S27)*$U$26*$K$26/360</f>
        <v>0</v>
      </c>
      <c r="U28" s="58">
        <f>T28-Q28</f>
        <v>0</v>
      </c>
      <c r="V28" s="44"/>
      <c r="W28" s="44"/>
      <c r="X28" s="44"/>
      <c r="Y28" s="62">
        <f>ROUNDUP((O26-V27+1)*(K26-W27)*X26/365,2)</f>
        <v>0</v>
      </c>
      <c r="Z28" s="44"/>
      <c r="AA28" s="44"/>
      <c r="AB28" s="44"/>
    </row>
    <row r="29" spans="1:28" s="35" customFormat="1" hidden="1">
      <c r="A29" s="44"/>
      <c r="B29" s="44"/>
      <c r="C29" s="44"/>
      <c r="D29" s="44"/>
      <c r="E29" s="44"/>
      <c r="F29" s="44"/>
      <c r="G29" s="44"/>
      <c r="H29" s="42"/>
      <c r="I29" s="44"/>
      <c r="J29" s="42"/>
      <c r="K29" s="42"/>
      <c r="L29" s="44"/>
      <c r="M29" s="51"/>
      <c r="N29" s="52"/>
      <c r="O29" s="52"/>
      <c r="P29" s="75"/>
      <c r="Q29" s="58"/>
      <c r="R29" s="44"/>
      <c r="S29" s="53"/>
      <c r="T29" s="58">
        <f>(S29-S28)*$U$26*$K$26/360</f>
        <v>0</v>
      </c>
      <c r="U29" s="58">
        <f>T29-Q29</f>
        <v>0</v>
      </c>
      <c r="V29" s="44"/>
      <c r="W29" s="44"/>
      <c r="X29" s="44"/>
      <c r="Y29" s="44"/>
      <c r="Z29" s="44"/>
      <c r="AA29" s="44"/>
      <c r="AB29" s="44"/>
    </row>
    <row r="30" spans="1:28" s="35" customFormat="1" hidden="1">
      <c r="A30" s="44"/>
      <c r="B30" s="44"/>
      <c r="C30" s="44"/>
      <c r="D30" s="44"/>
      <c r="E30" s="44"/>
      <c r="F30" s="44"/>
      <c r="G30" s="44"/>
      <c r="H30" s="42"/>
      <c r="I30" s="44"/>
      <c r="J30" s="42"/>
      <c r="K30" s="42"/>
      <c r="L30" s="44"/>
      <c r="M30" s="51"/>
      <c r="N30" s="52"/>
      <c r="O30" s="52"/>
      <c r="P30" s="75"/>
      <c r="Q30" s="58"/>
      <c r="R30" s="44"/>
      <c r="S30" s="53"/>
      <c r="T30" s="58">
        <f>(S30-S29)*$U$26*$K$26/360</f>
        <v>0</v>
      </c>
      <c r="U30" s="58">
        <f>T30-Q30</f>
        <v>0</v>
      </c>
      <c r="V30" s="44"/>
      <c r="W30" s="44"/>
      <c r="X30" s="44"/>
      <c r="Y30" s="44"/>
      <c r="Z30" s="44"/>
      <c r="AA30" s="44"/>
      <c r="AB30" s="44"/>
    </row>
    <row r="31" spans="1:28" s="35" customFormat="1" hidden="1">
      <c r="A31" s="44"/>
      <c r="B31" s="44"/>
      <c r="C31" s="44"/>
      <c r="D31" s="44"/>
      <c r="E31" s="44"/>
      <c r="F31" s="44"/>
      <c r="G31" s="44"/>
      <c r="H31" s="42"/>
      <c r="I31" s="44"/>
      <c r="J31" s="42"/>
      <c r="K31" s="42"/>
      <c r="L31" s="44"/>
      <c r="M31" s="51"/>
      <c r="N31" s="52"/>
      <c r="O31" s="52"/>
      <c r="P31" s="75"/>
      <c r="Q31" s="58"/>
      <c r="R31" s="44"/>
      <c r="S31" s="53"/>
      <c r="T31" s="58">
        <f>(S31-S30)*$U$26*$K$26/360</f>
        <v>0</v>
      </c>
      <c r="U31" s="58">
        <f>T31-Q31</f>
        <v>0</v>
      </c>
      <c r="V31" s="44"/>
      <c r="W31" s="44"/>
      <c r="X31" s="44"/>
      <c r="Y31" s="44"/>
      <c r="Z31" s="44"/>
      <c r="AA31" s="44"/>
      <c r="AB31" s="44"/>
    </row>
    <row r="32" spans="1:28" s="35" customFormat="1" hidden="1">
      <c r="A32" s="44"/>
      <c r="B32" s="44"/>
      <c r="C32" s="44"/>
      <c r="D32" s="44"/>
      <c r="E32" s="44"/>
      <c r="F32" s="44"/>
      <c r="G32" s="44"/>
      <c r="H32" s="42"/>
      <c r="I32" s="44"/>
      <c r="J32" s="42"/>
      <c r="K32" s="42"/>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2"/>
      <c r="I33" s="44"/>
      <c r="J33" s="42"/>
      <c r="K33" s="42"/>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2"/>
      <c r="I34" s="44"/>
      <c r="J34" s="42"/>
      <c r="K34" s="42"/>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2"/>
      <c r="I35" s="44"/>
      <c r="J35" s="42"/>
      <c r="K35" s="42"/>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2"/>
      <c r="I36" s="44"/>
      <c r="J36" s="42"/>
      <c r="K36" s="42"/>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2"/>
      <c r="I37" s="44"/>
      <c r="J37" s="42"/>
      <c r="K37" s="42"/>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2">B26</f>
        <v>0</v>
      </c>
      <c r="C48" s="43">
        <f t="shared" si="2"/>
        <v>0</v>
      </c>
      <c r="D48" s="43">
        <f t="shared" si="2"/>
        <v>0</v>
      </c>
      <c r="E48" s="43">
        <f t="shared" si="2"/>
        <v>0</v>
      </c>
      <c r="F48" s="43">
        <f t="shared" si="2"/>
        <v>0</v>
      </c>
      <c r="G48" s="43">
        <f t="shared" si="2"/>
        <v>0</v>
      </c>
      <c r="H48" s="71" t="s">
        <v>65</v>
      </c>
      <c r="I48" s="43" t="s">
        <v>57</v>
      </c>
      <c r="J48" s="71" t="s">
        <v>66</v>
      </c>
      <c r="K48" s="71"/>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3">B48</f>
        <v>0</v>
      </c>
      <c r="C70" s="43">
        <f t="shared" si="3"/>
        <v>0</v>
      </c>
      <c r="D70" s="43">
        <f t="shared" si="3"/>
        <v>0</v>
      </c>
      <c r="E70" s="43">
        <f t="shared" si="3"/>
        <v>0</v>
      </c>
      <c r="F70" s="43">
        <f t="shared" si="3"/>
        <v>0</v>
      </c>
      <c r="G70" s="43">
        <f t="shared" si="3"/>
        <v>0</v>
      </c>
      <c r="H70" s="71"/>
      <c r="I70" s="43"/>
      <c r="J70" s="71"/>
      <c r="K70" s="71"/>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4">B70</f>
        <v>0</v>
      </c>
      <c r="C92" s="43">
        <f t="shared" si="4"/>
        <v>0</v>
      </c>
      <c r="D92" s="43">
        <f t="shared" si="4"/>
        <v>0</v>
      </c>
      <c r="E92" s="43">
        <f t="shared" si="4"/>
        <v>0</v>
      </c>
      <c r="F92" s="43">
        <f t="shared" si="4"/>
        <v>0</v>
      </c>
      <c r="G92" s="43">
        <f t="shared" si="4"/>
        <v>0</v>
      </c>
      <c r="H92" s="71"/>
      <c r="I92" s="43"/>
      <c r="J92" s="71"/>
      <c r="K92" s="71"/>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1000</v>
      </c>
      <c r="L114" s="43"/>
      <c r="M114" s="49"/>
      <c r="N114" s="50"/>
      <c r="O114" s="50"/>
      <c r="P114" s="76"/>
      <c r="Q114" s="43"/>
      <c r="R114" s="43">
        <f>R92+R70+R48+R26++R4</f>
        <v>15.16</v>
      </c>
      <c r="S114" s="43"/>
      <c r="T114" s="43"/>
      <c r="U114" s="43"/>
      <c r="V114" s="43"/>
      <c r="W114" s="43"/>
      <c r="X114" s="43"/>
      <c r="Y114" s="43">
        <f>Y92+Y70+Y48+Y26++Y4</f>
        <v>15.16</v>
      </c>
      <c r="Z114" s="43"/>
      <c r="AA114" s="43"/>
      <c r="AB114" s="43"/>
    </row>
    <row r="115" spans="1:28">
      <c r="I115" s="36" t="s">
        <v>49</v>
      </c>
      <c r="K115" s="72">
        <f>IF(K114&gt;3000,K116,K114)</f>
        <v>1000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D116"/>
  <sheetViews>
    <sheetView topLeftCell="J1" zoomScale="70" zoomScaleNormal="70" workbookViewId="0">
      <pane ySplit="3" topLeftCell="A4" activePane="bottomLeft" state="frozen"/>
      <selection pane="bottomLeft" activeCell="Y4" sqref="Y4"/>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四川合纵药易购医药股份有限公司审计明细表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704</v>
      </c>
      <c r="C4" s="43" t="s">
        <v>52</v>
      </c>
      <c r="D4" s="43" t="s">
        <v>967</v>
      </c>
      <c r="E4" s="43" t="s">
        <v>502</v>
      </c>
      <c r="F4" s="43" t="s">
        <v>968</v>
      </c>
      <c r="G4" s="43" t="s">
        <v>969</v>
      </c>
      <c r="H4" s="71" t="s">
        <v>71</v>
      </c>
      <c r="I4" s="43" t="s">
        <v>970</v>
      </c>
      <c r="J4" s="71" t="s">
        <v>58</v>
      </c>
      <c r="K4" s="71">
        <v>1000</v>
      </c>
      <c r="L4" s="43" t="s">
        <v>971</v>
      </c>
      <c r="M4" s="49" t="s">
        <v>972</v>
      </c>
      <c r="N4" s="50">
        <v>44889</v>
      </c>
      <c r="O4" s="50">
        <v>45253</v>
      </c>
      <c r="P4" s="43">
        <f>P17-N4</f>
        <v>364</v>
      </c>
      <c r="Q4" s="55">
        <f>SUM(Q5:Q25)</f>
        <v>44.02</v>
      </c>
      <c r="R4" s="55">
        <v>15</v>
      </c>
      <c r="S4" s="43"/>
      <c r="T4" s="55">
        <f>SUM(T5:T25)</f>
        <v>44.02</v>
      </c>
      <c r="U4" s="56">
        <v>4.3499999999999997E-2</v>
      </c>
      <c r="V4" s="50"/>
      <c r="W4" s="43" t="s">
        <v>42</v>
      </c>
      <c r="X4" s="57">
        <v>1.4999999999999999E-2</v>
      </c>
      <c r="Y4" s="43">
        <f>ROUNDDOWN(IF((O4-N4+1)*K4*X4/365&gt;R4,R4,(O4-N4+1)*K4*X4/365),2)</f>
        <v>15</v>
      </c>
      <c r="Z4" s="55">
        <f>R4-Y4</f>
        <v>0</v>
      </c>
      <c r="AA4" s="55"/>
      <c r="AB4" s="43" t="s">
        <v>61</v>
      </c>
      <c r="AD4" s="61">
        <f>(O4-N4+1)*K4*X4/365</f>
        <v>15</v>
      </c>
    </row>
    <row r="5" spans="1:30" s="35" customFormat="1">
      <c r="A5" s="44"/>
      <c r="B5" s="44"/>
      <c r="C5" s="44"/>
      <c r="D5" s="44"/>
      <c r="E5" s="44"/>
      <c r="F5" s="44"/>
      <c r="G5" s="44"/>
      <c r="H5" s="42"/>
      <c r="I5" s="44"/>
      <c r="J5" s="42"/>
      <c r="K5" s="42"/>
      <c r="L5" s="44"/>
      <c r="M5" s="51"/>
      <c r="N5" s="52"/>
      <c r="O5" s="52"/>
      <c r="P5" s="75">
        <v>44915</v>
      </c>
      <c r="Q5" s="58">
        <v>3.14</v>
      </c>
      <c r="R5" s="44"/>
      <c r="S5" s="53">
        <f>P5</f>
        <v>44915</v>
      </c>
      <c r="T5" s="58">
        <f>(S5-N4)/360*$U$4*$K$4</f>
        <v>3.14</v>
      </c>
      <c r="U5" s="58">
        <f t="shared" ref="U5:U17" si="0">T5-Q5</f>
        <v>0</v>
      </c>
      <c r="V5" s="52"/>
      <c r="W5" s="44"/>
      <c r="X5" s="44"/>
      <c r="Y5" s="44">
        <f>ROUNDDOWN((V5-N4)*K4*X4/365,2)</f>
        <v>-1844.75</v>
      </c>
      <c r="Z5" s="44"/>
      <c r="AA5" s="44"/>
      <c r="AB5" s="44"/>
    </row>
    <row r="6" spans="1:30" s="35" customFormat="1">
      <c r="A6" s="44"/>
      <c r="B6" s="44"/>
      <c r="C6" s="44"/>
      <c r="D6" s="44"/>
      <c r="E6" s="44"/>
      <c r="F6" s="44"/>
      <c r="G6" s="44"/>
      <c r="H6" s="42"/>
      <c r="I6" s="44"/>
      <c r="J6" s="42"/>
      <c r="K6" s="42"/>
      <c r="L6" s="44"/>
      <c r="M6" s="51"/>
      <c r="N6" s="52"/>
      <c r="O6" s="52"/>
      <c r="P6" s="75">
        <v>44946</v>
      </c>
      <c r="Q6" s="58">
        <v>3.75</v>
      </c>
      <c r="R6" s="44"/>
      <c r="S6" s="75">
        <v>44946</v>
      </c>
      <c r="T6" s="58">
        <f t="shared" ref="T6:T17" si="1">(S6-S5)*$K$4*$U$4/360</f>
        <v>3.75</v>
      </c>
      <c r="U6" s="58">
        <f t="shared" si="0"/>
        <v>0</v>
      </c>
      <c r="V6" s="44"/>
      <c r="W6" s="44"/>
      <c r="X6" s="44"/>
      <c r="Y6" s="44"/>
      <c r="Z6" s="44"/>
      <c r="AA6" s="44"/>
      <c r="AB6" s="44"/>
    </row>
    <row r="7" spans="1:30" s="35" customFormat="1">
      <c r="A7" s="44"/>
      <c r="B7" s="44"/>
      <c r="C7" s="44"/>
      <c r="D7" s="44"/>
      <c r="E7" s="44"/>
      <c r="F7" s="44"/>
      <c r="G7" s="44"/>
      <c r="H7" s="42"/>
      <c r="I7" s="44"/>
      <c r="J7" s="42"/>
      <c r="K7" s="42"/>
      <c r="L7" s="44"/>
      <c r="M7" s="51"/>
      <c r="N7" s="52"/>
      <c r="O7" s="52"/>
      <c r="P7" s="75">
        <v>44977</v>
      </c>
      <c r="Q7" s="58">
        <v>3.75</v>
      </c>
      <c r="R7" s="44"/>
      <c r="S7" s="75">
        <v>44977</v>
      </c>
      <c r="T7" s="58">
        <f t="shared" si="1"/>
        <v>3.75</v>
      </c>
      <c r="U7" s="58">
        <f t="shared" si="0"/>
        <v>0</v>
      </c>
      <c r="V7" s="44"/>
      <c r="W7" s="44"/>
      <c r="X7" s="44"/>
      <c r="Y7" s="44"/>
      <c r="Z7" s="44"/>
      <c r="AA7" s="44"/>
      <c r="AB7" s="44"/>
    </row>
    <row r="8" spans="1:30" s="35" customFormat="1">
      <c r="A8" s="44"/>
      <c r="B8" s="44"/>
      <c r="C8" s="44"/>
      <c r="D8" s="44"/>
      <c r="E8" s="44"/>
      <c r="F8" s="44"/>
      <c r="G8" s="44"/>
      <c r="H8" s="42"/>
      <c r="I8" s="44"/>
      <c r="J8" s="42"/>
      <c r="K8" s="42"/>
      <c r="L8" s="44"/>
      <c r="M8" s="51"/>
      <c r="N8" s="52"/>
      <c r="O8" s="52"/>
      <c r="P8" s="75">
        <v>45005</v>
      </c>
      <c r="Q8" s="58">
        <v>3.38</v>
      </c>
      <c r="R8" s="44"/>
      <c r="S8" s="75">
        <v>45005</v>
      </c>
      <c r="T8" s="58">
        <f t="shared" si="1"/>
        <v>3.38</v>
      </c>
      <c r="U8" s="58">
        <f t="shared" si="0"/>
        <v>0</v>
      </c>
      <c r="V8" s="44"/>
      <c r="W8" s="44"/>
      <c r="X8" s="44"/>
      <c r="Y8" s="44"/>
      <c r="Z8" s="44"/>
      <c r="AA8" s="44"/>
      <c r="AB8" s="44"/>
    </row>
    <row r="9" spans="1:30" s="35" customFormat="1">
      <c r="A9" s="44"/>
      <c r="B9" s="44"/>
      <c r="C9" s="44"/>
      <c r="D9" s="44"/>
      <c r="E9" s="44"/>
      <c r="F9" s="44"/>
      <c r="G9" s="44"/>
      <c r="H9" s="42"/>
      <c r="I9" s="44"/>
      <c r="J9" s="42"/>
      <c r="K9" s="42"/>
      <c r="L9" s="44"/>
      <c r="M9" s="51"/>
      <c r="N9" s="52"/>
      <c r="O9" s="52"/>
      <c r="P9" s="75">
        <v>45036</v>
      </c>
      <c r="Q9" s="58">
        <v>3.75</v>
      </c>
      <c r="R9" s="44"/>
      <c r="S9" s="75">
        <v>45036</v>
      </c>
      <c r="T9" s="58">
        <f t="shared" si="1"/>
        <v>3.75</v>
      </c>
      <c r="U9" s="58">
        <f t="shared" si="0"/>
        <v>0</v>
      </c>
      <c r="V9" s="44"/>
      <c r="W9" s="44"/>
      <c r="X9" s="44"/>
      <c r="Y9" s="44"/>
      <c r="Z9" s="44"/>
      <c r="AA9" s="44"/>
      <c r="AB9" s="44"/>
    </row>
    <row r="10" spans="1:30" s="35" customFormat="1">
      <c r="A10" s="44"/>
      <c r="B10" s="44"/>
      <c r="C10" s="44"/>
      <c r="D10" s="44"/>
      <c r="E10" s="44"/>
      <c r="F10" s="44"/>
      <c r="G10" s="44"/>
      <c r="H10" s="42"/>
      <c r="I10" s="44"/>
      <c r="J10" s="42"/>
      <c r="K10" s="42"/>
      <c r="L10" s="44"/>
      <c r="M10" s="51"/>
      <c r="N10" s="52"/>
      <c r="O10" s="52"/>
      <c r="P10" s="75">
        <v>45066</v>
      </c>
      <c r="Q10" s="58">
        <v>3.63</v>
      </c>
      <c r="R10" s="44"/>
      <c r="S10" s="75">
        <v>45066</v>
      </c>
      <c r="T10" s="58">
        <f t="shared" si="1"/>
        <v>3.63</v>
      </c>
      <c r="U10" s="58">
        <f t="shared" si="0"/>
        <v>0</v>
      </c>
      <c r="V10" s="44"/>
      <c r="W10" s="44"/>
      <c r="X10" s="44"/>
      <c r="Y10" s="44"/>
      <c r="Z10" s="44"/>
      <c r="AA10" s="44"/>
      <c r="AB10" s="44"/>
    </row>
    <row r="11" spans="1:30" s="35" customFormat="1">
      <c r="A11" s="44"/>
      <c r="B11" s="44"/>
      <c r="C11" s="44"/>
      <c r="D11" s="44"/>
      <c r="E11" s="44"/>
      <c r="F11" s="44"/>
      <c r="G11" s="44"/>
      <c r="H11" s="42"/>
      <c r="I11" s="44"/>
      <c r="J11" s="42"/>
      <c r="K11" s="42"/>
      <c r="L11" s="44"/>
      <c r="M11" s="51"/>
      <c r="N11" s="52"/>
      <c r="O11" s="52"/>
      <c r="P11" s="75">
        <v>45097</v>
      </c>
      <c r="Q11" s="58">
        <v>3.75</v>
      </c>
      <c r="R11" s="44"/>
      <c r="S11" s="75">
        <v>45097</v>
      </c>
      <c r="T11" s="58">
        <f t="shared" si="1"/>
        <v>3.75</v>
      </c>
      <c r="U11" s="58">
        <f t="shared" si="0"/>
        <v>0</v>
      </c>
      <c r="V11" s="44"/>
      <c r="W11" s="44"/>
      <c r="X11" s="44"/>
      <c r="Y11" s="44"/>
      <c r="Z11" s="44"/>
      <c r="AA11" s="44"/>
      <c r="AB11" s="44"/>
    </row>
    <row r="12" spans="1:30" s="35" customFormat="1">
      <c r="A12" s="44"/>
      <c r="B12" s="44"/>
      <c r="C12" s="44"/>
      <c r="D12" s="44"/>
      <c r="E12" s="44"/>
      <c r="F12" s="44"/>
      <c r="G12" s="44"/>
      <c r="H12" s="42"/>
      <c r="I12" s="44"/>
      <c r="J12" s="42"/>
      <c r="K12" s="42"/>
      <c r="L12" s="44"/>
      <c r="M12" s="51"/>
      <c r="N12" s="52"/>
      <c r="O12" s="52"/>
      <c r="P12" s="75">
        <v>45127</v>
      </c>
      <c r="Q12" s="58">
        <v>3.63</v>
      </c>
      <c r="R12" s="44"/>
      <c r="S12" s="75">
        <v>45127</v>
      </c>
      <c r="T12" s="58">
        <f t="shared" si="1"/>
        <v>3.63</v>
      </c>
      <c r="U12" s="58">
        <f t="shared" si="0"/>
        <v>0</v>
      </c>
      <c r="V12" s="44"/>
      <c r="W12" s="44"/>
      <c r="X12" s="44"/>
      <c r="Y12" s="44"/>
      <c r="Z12" s="44"/>
      <c r="AA12" s="44"/>
      <c r="AB12" s="44"/>
    </row>
    <row r="13" spans="1:30" s="35" customFormat="1">
      <c r="A13" s="44"/>
      <c r="B13" s="44"/>
      <c r="C13" s="44"/>
      <c r="D13" s="44"/>
      <c r="E13" s="44"/>
      <c r="F13" s="44"/>
      <c r="G13" s="44"/>
      <c r="H13" s="42"/>
      <c r="I13" s="44"/>
      <c r="J13" s="42"/>
      <c r="K13" s="42"/>
      <c r="L13" s="44"/>
      <c r="M13" s="51"/>
      <c r="N13" s="52"/>
      <c r="O13" s="52"/>
      <c r="P13" s="75">
        <v>45158</v>
      </c>
      <c r="Q13" s="58">
        <v>3.75</v>
      </c>
      <c r="R13" s="44"/>
      <c r="S13" s="75">
        <v>45158</v>
      </c>
      <c r="T13" s="58">
        <f t="shared" si="1"/>
        <v>3.75</v>
      </c>
      <c r="U13" s="58">
        <f t="shared" si="0"/>
        <v>0</v>
      </c>
      <c r="V13" s="44"/>
      <c r="W13" s="44"/>
      <c r="X13" s="44"/>
      <c r="Y13" s="44"/>
      <c r="Z13" s="44"/>
      <c r="AA13" s="44"/>
      <c r="AB13" s="44"/>
    </row>
    <row r="14" spans="1:30" s="35" customFormat="1">
      <c r="A14" s="44"/>
      <c r="B14" s="44"/>
      <c r="C14" s="44"/>
      <c r="D14" s="44"/>
      <c r="E14" s="44"/>
      <c r="F14" s="44"/>
      <c r="G14" s="44"/>
      <c r="H14" s="42"/>
      <c r="I14" s="44"/>
      <c r="J14" s="42"/>
      <c r="K14" s="42"/>
      <c r="L14" s="44"/>
      <c r="M14" s="51"/>
      <c r="N14" s="52"/>
      <c r="O14" s="52"/>
      <c r="P14" s="75">
        <v>45189</v>
      </c>
      <c r="Q14" s="58">
        <v>3.75</v>
      </c>
      <c r="R14" s="44"/>
      <c r="S14" s="75">
        <v>45189</v>
      </c>
      <c r="T14" s="58">
        <f t="shared" si="1"/>
        <v>3.75</v>
      </c>
      <c r="U14" s="58">
        <f t="shared" si="0"/>
        <v>0</v>
      </c>
      <c r="V14" s="44"/>
      <c r="W14" s="44"/>
      <c r="X14" s="44"/>
      <c r="Y14" s="44"/>
      <c r="Z14" s="44"/>
      <c r="AA14" s="44"/>
      <c r="AB14" s="44"/>
    </row>
    <row r="15" spans="1:30" s="35" customFormat="1">
      <c r="A15" s="44"/>
      <c r="B15" s="44"/>
      <c r="C15" s="44"/>
      <c r="D15" s="44"/>
      <c r="E15" s="44"/>
      <c r="F15" s="44"/>
      <c r="G15" s="44"/>
      <c r="H15" s="42"/>
      <c r="I15" s="44"/>
      <c r="J15" s="42"/>
      <c r="K15" s="42"/>
      <c r="L15" s="44"/>
      <c r="M15" s="51"/>
      <c r="N15" s="52"/>
      <c r="O15" s="52"/>
      <c r="P15" s="75">
        <v>45219</v>
      </c>
      <c r="Q15" s="58">
        <v>3.63</v>
      </c>
      <c r="R15" s="44"/>
      <c r="S15" s="75">
        <v>45219</v>
      </c>
      <c r="T15" s="58">
        <f t="shared" si="1"/>
        <v>3.63</v>
      </c>
      <c r="U15" s="58">
        <f t="shared" si="0"/>
        <v>0</v>
      </c>
      <c r="V15" s="44"/>
      <c r="W15" s="44"/>
      <c r="X15" s="44"/>
      <c r="Y15" s="44"/>
      <c r="Z15" s="44"/>
      <c r="AA15" s="44"/>
      <c r="AB15" s="44"/>
    </row>
    <row r="16" spans="1:30" s="35" customFormat="1">
      <c r="A16" s="44"/>
      <c r="B16" s="44"/>
      <c r="C16" s="44"/>
      <c r="D16" s="44"/>
      <c r="E16" s="44"/>
      <c r="F16" s="44"/>
      <c r="G16" s="44"/>
      <c r="H16" s="42"/>
      <c r="I16" s="44"/>
      <c r="J16" s="42"/>
      <c r="K16" s="42"/>
      <c r="L16" s="44"/>
      <c r="M16" s="51"/>
      <c r="N16" s="52"/>
      <c r="O16" s="52"/>
      <c r="P16" s="75">
        <v>45250</v>
      </c>
      <c r="Q16" s="58">
        <v>3.75</v>
      </c>
      <c r="R16" s="44"/>
      <c r="S16" s="75">
        <v>45250</v>
      </c>
      <c r="T16" s="58">
        <f t="shared" si="1"/>
        <v>3.75</v>
      </c>
      <c r="U16" s="58">
        <f t="shared" si="0"/>
        <v>0</v>
      </c>
      <c r="V16" s="44"/>
      <c r="W16" s="44"/>
      <c r="X16" s="44"/>
      <c r="Y16" s="44"/>
      <c r="Z16" s="44"/>
      <c r="AA16" s="44"/>
      <c r="AB16" s="44"/>
    </row>
    <row r="17" spans="1:28" s="35" customFormat="1">
      <c r="A17" s="44"/>
      <c r="B17" s="44"/>
      <c r="C17" s="44"/>
      <c r="D17" s="44"/>
      <c r="E17" s="44"/>
      <c r="F17" s="44"/>
      <c r="G17" s="44"/>
      <c r="H17" s="42"/>
      <c r="I17" s="44"/>
      <c r="J17" s="42"/>
      <c r="K17" s="42"/>
      <c r="L17" s="44"/>
      <c r="M17" s="51"/>
      <c r="N17" s="52"/>
      <c r="O17" s="52"/>
      <c r="P17" s="75">
        <v>45253</v>
      </c>
      <c r="Q17" s="58">
        <v>0.36</v>
      </c>
      <c r="R17" s="44"/>
      <c r="S17" s="75">
        <v>45253</v>
      </c>
      <c r="T17" s="58">
        <f t="shared" si="1"/>
        <v>0.36</v>
      </c>
      <c r="U17" s="58">
        <f t="shared" si="0"/>
        <v>0</v>
      </c>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customHeight="1">
      <c r="A26" s="43">
        <v>2</v>
      </c>
      <c r="B26" s="43" t="s">
        <v>704</v>
      </c>
      <c r="C26" s="43" t="s">
        <v>52</v>
      </c>
      <c r="D26" s="43" t="s">
        <v>967</v>
      </c>
      <c r="E26" s="43" t="s">
        <v>502</v>
      </c>
      <c r="F26" s="43" t="s">
        <v>968</v>
      </c>
      <c r="G26" s="43" t="s">
        <v>969</v>
      </c>
      <c r="H26" s="71" t="s">
        <v>156</v>
      </c>
      <c r="I26" s="43" t="s">
        <v>970</v>
      </c>
      <c r="J26" s="71" t="s">
        <v>58</v>
      </c>
      <c r="K26" s="71">
        <v>2000</v>
      </c>
      <c r="L26" s="43" t="s">
        <v>973</v>
      </c>
      <c r="M26" s="49" t="s">
        <v>974</v>
      </c>
      <c r="N26" s="50">
        <v>44855</v>
      </c>
      <c r="O26" s="50">
        <v>45219</v>
      </c>
      <c r="P26" s="43">
        <f>P37-N26</f>
        <v>365</v>
      </c>
      <c r="Q26" s="55">
        <f>SUM(Q27:Q37)</f>
        <v>80.900000000000006</v>
      </c>
      <c r="R26" s="43">
        <v>40</v>
      </c>
      <c r="S26" s="43"/>
      <c r="T26" s="55">
        <f>SUM(T27:T37)</f>
        <v>81.13</v>
      </c>
      <c r="U26" s="56">
        <v>0.04</v>
      </c>
      <c r="V26" s="50"/>
      <c r="W26" s="43" t="s">
        <v>42</v>
      </c>
      <c r="X26" s="57">
        <v>0.02</v>
      </c>
      <c r="Y26" s="43">
        <f>ROUNDDOWN(IF((O26-N26+1)*K26*X26/365&gt;R26,R26,(O26-N26+1)*K26*X26/365),2)</f>
        <v>40</v>
      </c>
      <c r="Z26" s="43">
        <f>R26-Y26</f>
        <v>0</v>
      </c>
      <c r="AA26" s="43"/>
      <c r="AB26" s="43" t="s">
        <v>61</v>
      </c>
    </row>
    <row r="27" spans="1:28" s="35" customFormat="1">
      <c r="A27" s="44"/>
      <c r="B27" s="44"/>
      <c r="C27" s="44"/>
      <c r="D27" s="44"/>
      <c r="E27" s="44"/>
      <c r="F27" s="44"/>
      <c r="G27" s="44"/>
      <c r="H27" s="42"/>
      <c r="I27" s="44"/>
      <c r="J27" s="42"/>
      <c r="K27" s="42"/>
      <c r="L27" s="44"/>
      <c r="M27" s="51"/>
      <c r="N27" s="52"/>
      <c r="O27" s="52"/>
      <c r="P27" s="75">
        <v>44886</v>
      </c>
      <c r="Q27" s="58">
        <v>13.56</v>
      </c>
      <c r="R27" s="44"/>
      <c r="S27" s="75">
        <v>44886</v>
      </c>
      <c r="T27" s="58">
        <f>(S27-N26)/360*$U$26*$K$26</f>
        <v>6.89</v>
      </c>
      <c r="U27" s="58">
        <f t="shared" ref="U27:U37" si="2">T27-Q27</f>
        <v>-6.67</v>
      </c>
      <c r="V27" s="52"/>
      <c r="W27" s="44"/>
      <c r="X27" s="44"/>
      <c r="Y27" s="62">
        <f>ROUNDUP((V27-N26)*K26*X26/365,2)</f>
        <v>-4915.62</v>
      </c>
      <c r="Z27" s="44"/>
      <c r="AA27" s="44"/>
      <c r="AB27" s="44"/>
    </row>
    <row r="28" spans="1:28" s="35" customFormat="1">
      <c r="A28" s="44"/>
      <c r="B28" s="44"/>
      <c r="C28" s="44"/>
      <c r="D28" s="44"/>
      <c r="E28" s="44"/>
      <c r="F28" s="44"/>
      <c r="G28" s="44"/>
      <c r="H28" s="42"/>
      <c r="I28" s="44"/>
      <c r="J28" s="42"/>
      <c r="K28" s="42"/>
      <c r="L28" s="44"/>
      <c r="M28" s="51"/>
      <c r="N28" s="52"/>
      <c r="O28" s="52"/>
      <c r="P28" s="75">
        <v>44947</v>
      </c>
      <c r="Q28" s="58">
        <v>6.89</v>
      </c>
      <c r="R28" s="44"/>
      <c r="S28" s="75">
        <v>44947</v>
      </c>
      <c r="T28" s="58">
        <f t="shared" ref="T28:T37" si="3">(S28-S27)*$U$26*$K$26/360</f>
        <v>13.56</v>
      </c>
      <c r="U28" s="58">
        <f t="shared" si="2"/>
        <v>6.67</v>
      </c>
      <c r="V28" s="44"/>
      <c r="W28" s="44"/>
      <c r="X28" s="44"/>
      <c r="Y28" s="62">
        <f>ROUNDUP((O26-V27+1)*(K26-W27)*X26/365,2)</f>
        <v>4955.62</v>
      </c>
      <c r="Z28" s="44"/>
      <c r="AA28" s="44"/>
      <c r="AB28" s="44"/>
    </row>
    <row r="29" spans="1:28" s="35" customFormat="1">
      <c r="A29" s="44"/>
      <c r="B29" s="44"/>
      <c r="C29" s="44"/>
      <c r="D29" s="44"/>
      <c r="E29" s="44"/>
      <c r="F29" s="44"/>
      <c r="G29" s="44"/>
      <c r="H29" s="42"/>
      <c r="I29" s="44"/>
      <c r="J29" s="42"/>
      <c r="K29" s="42"/>
      <c r="L29" s="44"/>
      <c r="M29" s="51"/>
      <c r="N29" s="52"/>
      <c r="O29" s="52"/>
      <c r="P29" s="75">
        <v>44978</v>
      </c>
      <c r="Q29" s="58">
        <v>6.89</v>
      </c>
      <c r="R29" s="44"/>
      <c r="S29" s="75">
        <v>44978</v>
      </c>
      <c r="T29" s="58">
        <f t="shared" si="3"/>
        <v>6.89</v>
      </c>
      <c r="U29" s="58">
        <f t="shared" si="2"/>
        <v>0</v>
      </c>
      <c r="V29" s="44"/>
      <c r="W29" s="44"/>
      <c r="X29" s="44"/>
      <c r="Y29" s="44"/>
      <c r="Z29" s="44"/>
      <c r="AA29" s="44"/>
      <c r="AB29" s="44"/>
    </row>
    <row r="30" spans="1:28" s="35" customFormat="1">
      <c r="A30" s="44"/>
      <c r="B30" s="44"/>
      <c r="C30" s="44"/>
      <c r="D30" s="44"/>
      <c r="E30" s="44"/>
      <c r="F30" s="44"/>
      <c r="G30" s="44"/>
      <c r="H30" s="42"/>
      <c r="I30" s="44"/>
      <c r="J30" s="42"/>
      <c r="K30" s="42"/>
      <c r="L30" s="44"/>
      <c r="M30" s="51"/>
      <c r="N30" s="52"/>
      <c r="O30" s="52"/>
      <c r="P30" s="75">
        <v>45006</v>
      </c>
      <c r="Q30" s="58">
        <v>6.22</v>
      </c>
      <c r="R30" s="44"/>
      <c r="S30" s="75">
        <v>45006</v>
      </c>
      <c r="T30" s="58">
        <f t="shared" si="3"/>
        <v>6.22</v>
      </c>
      <c r="U30" s="58">
        <f t="shared" si="2"/>
        <v>0</v>
      </c>
      <c r="V30" s="44"/>
      <c r="W30" s="44"/>
      <c r="X30" s="44"/>
      <c r="Y30" s="44"/>
      <c r="Z30" s="44"/>
      <c r="AA30" s="44"/>
      <c r="AB30" s="44"/>
    </row>
    <row r="31" spans="1:28" s="35" customFormat="1">
      <c r="A31" s="44"/>
      <c r="B31" s="44"/>
      <c r="C31" s="44"/>
      <c r="D31" s="44"/>
      <c r="E31" s="44"/>
      <c r="F31" s="44"/>
      <c r="G31" s="44"/>
      <c r="H31" s="42"/>
      <c r="I31" s="44"/>
      <c r="J31" s="42"/>
      <c r="K31" s="42"/>
      <c r="L31" s="44"/>
      <c r="M31" s="51"/>
      <c r="N31" s="52"/>
      <c r="O31" s="52"/>
      <c r="P31" s="75">
        <v>45037</v>
      </c>
      <c r="Q31" s="58">
        <v>6.89</v>
      </c>
      <c r="R31" s="44"/>
      <c r="S31" s="75">
        <v>45037</v>
      </c>
      <c r="T31" s="58">
        <f t="shared" si="3"/>
        <v>6.89</v>
      </c>
      <c r="U31" s="58">
        <f t="shared" si="2"/>
        <v>0</v>
      </c>
      <c r="V31" s="44"/>
      <c r="W31" s="44"/>
      <c r="X31" s="44"/>
      <c r="Y31" s="44"/>
      <c r="Z31" s="44"/>
      <c r="AA31" s="44"/>
      <c r="AB31" s="44"/>
    </row>
    <row r="32" spans="1:28" s="35" customFormat="1">
      <c r="A32" s="44"/>
      <c r="B32" s="44"/>
      <c r="C32" s="44"/>
      <c r="D32" s="44"/>
      <c r="E32" s="44"/>
      <c r="F32" s="44"/>
      <c r="G32" s="44"/>
      <c r="H32" s="42"/>
      <c r="I32" s="44"/>
      <c r="J32" s="42"/>
      <c r="K32" s="42"/>
      <c r="L32" s="44"/>
      <c r="M32" s="51"/>
      <c r="N32" s="52"/>
      <c r="O32" s="52"/>
      <c r="P32" s="75">
        <v>45067</v>
      </c>
      <c r="Q32" s="58">
        <v>6.67</v>
      </c>
      <c r="R32" s="44"/>
      <c r="S32" s="75">
        <v>45067</v>
      </c>
      <c r="T32" s="58">
        <f t="shared" si="3"/>
        <v>6.67</v>
      </c>
      <c r="U32" s="58">
        <f t="shared" si="2"/>
        <v>0</v>
      </c>
      <c r="V32" s="44"/>
      <c r="W32" s="44"/>
      <c r="X32" s="44"/>
      <c r="Y32" s="44"/>
      <c r="Z32" s="44"/>
      <c r="AA32" s="44"/>
      <c r="AB32" s="44"/>
    </row>
    <row r="33" spans="1:28" s="35" customFormat="1">
      <c r="A33" s="44"/>
      <c r="B33" s="44"/>
      <c r="C33" s="44"/>
      <c r="D33" s="44"/>
      <c r="E33" s="44"/>
      <c r="F33" s="44"/>
      <c r="G33" s="44"/>
      <c r="H33" s="42"/>
      <c r="I33" s="44"/>
      <c r="J33" s="42"/>
      <c r="K33" s="42"/>
      <c r="L33" s="44"/>
      <c r="M33" s="51"/>
      <c r="N33" s="52"/>
      <c r="O33" s="52"/>
      <c r="P33" s="75">
        <v>45098</v>
      </c>
      <c r="Q33" s="58">
        <v>6.89</v>
      </c>
      <c r="R33" s="44"/>
      <c r="S33" s="75">
        <v>45098</v>
      </c>
      <c r="T33" s="58">
        <f t="shared" si="3"/>
        <v>6.89</v>
      </c>
      <c r="U33" s="58">
        <f t="shared" si="2"/>
        <v>0</v>
      </c>
      <c r="V33" s="44"/>
      <c r="W33" s="44"/>
      <c r="X33" s="44"/>
      <c r="Y33" s="44"/>
      <c r="Z33" s="44"/>
      <c r="AA33" s="44"/>
      <c r="AB33" s="44"/>
    </row>
    <row r="34" spans="1:28" s="35" customFormat="1">
      <c r="A34" s="44"/>
      <c r="B34" s="44"/>
      <c r="C34" s="44"/>
      <c r="D34" s="44"/>
      <c r="E34" s="44"/>
      <c r="F34" s="44"/>
      <c r="G34" s="44"/>
      <c r="H34" s="42"/>
      <c r="I34" s="44"/>
      <c r="J34" s="42"/>
      <c r="K34" s="42"/>
      <c r="L34" s="44"/>
      <c r="M34" s="51"/>
      <c r="N34" s="52"/>
      <c r="O34" s="52"/>
      <c r="P34" s="75">
        <v>45128</v>
      </c>
      <c r="Q34" s="58">
        <v>6.67</v>
      </c>
      <c r="R34" s="44"/>
      <c r="S34" s="75">
        <v>45128</v>
      </c>
      <c r="T34" s="58">
        <f t="shared" si="3"/>
        <v>6.67</v>
      </c>
      <c r="U34" s="58">
        <f t="shared" si="2"/>
        <v>0</v>
      </c>
      <c r="V34" s="44"/>
      <c r="W34" s="44"/>
      <c r="X34" s="44"/>
      <c r="Y34" s="44"/>
      <c r="Z34" s="44"/>
      <c r="AA34" s="44"/>
      <c r="AB34" s="44"/>
    </row>
    <row r="35" spans="1:28" s="35" customFormat="1">
      <c r="A35" s="44"/>
      <c r="B35" s="44"/>
      <c r="C35" s="44"/>
      <c r="D35" s="44"/>
      <c r="E35" s="44"/>
      <c r="F35" s="44"/>
      <c r="G35" s="44"/>
      <c r="H35" s="42"/>
      <c r="I35" s="44"/>
      <c r="J35" s="42"/>
      <c r="K35" s="42"/>
      <c r="L35" s="44"/>
      <c r="M35" s="51"/>
      <c r="N35" s="52"/>
      <c r="O35" s="52"/>
      <c r="P35" s="75">
        <v>45159</v>
      </c>
      <c r="Q35" s="58">
        <v>6.89</v>
      </c>
      <c r="R35" s="44"/>
      <c r="S35" s="75">
        <v>45159</v>
      </c>
      <c r="T35" s="58">
        <f t="shared" si="3"/>
        <v>6.89</v>
      </c>
      <c r="U35" s="58">
        <f t="shared" si="2"/>
        <v>0</v>
      </c>
      <c r="V35" s="44"/>
      <c r="W35" s="44"/>
      <c r="X35" s="44"/>
      <c r="Y35" s="44"/>
      <c r="Z35" s="44"/>
      <c r="AA35" s="44"/>
      <c r="AB35" s="44"/>
    </row>
    <row r="36" spans="1:28" s="35" customFormat="1">
      <c r="A36" s="44"/>
      <c r="B36" s="44"/>
      <c r="C36" s="44"/>
      <c r="D36" s="44"/>
      <c r="E36" s="44"/>
      <c r="F36" s="44"/>
      <c r="G36" s="44"/>
      <c r="H36" s="42"/>
      <c r="I36" s="44"/>
      <c r="J36" s="42"/>
      <c r="K36" s="42"/>
      <c r="L36" s="44"/>
      <c r="M36" s="51"/>
      <c r="N36" s="52"/>
      <c r="O36" s="52"/>
      <c r="P36" s="75">
        <v>45190</v>
      </c>
      <c r="Q36" s="58">
        <v>6.89</v>
      </c>
      <c r="R36" s="44"/>
      <c r="S36" s="75">
        <v>45190</v>
      </c>
      <c r="T36" s="58">
        <f t="shared" si="3"/>
        <v>6.89</v>
      </c>
      <c r="U36" s="58">
        <f t="shared" si="2"/>
        <v>0</v>
      </c>
      <c r="V36" s="44"/>
      <c r="W36" s="44"/>
      <c r="X36" s="44"/>
      <c r="Y36" s="44"/>
      <c r="Z36" s="44"/>
      <c r="AA36" s="44"/>
      <c r="AB36" s="44"/>
    </row>
    <row r="37" spans="1:28" s="35" customFormat="1">
      <c r="A37" s="44"/>
      <c r="B37" s="44"/>
      <c r="C37" s="44"/>
      <c r="D37" s="44"/>
      <c r="E37" s="44"/>
      <c r="F37" s="44"/>
      <c r="G37" s="44"/>
      <c r="H37" s="42"/>
      <c r="I37" s="44"/>
      <c r="J37" s="42"/>
      <c r="K37" s="42"/>
      <c r="L37" s="44"/>
      <c r="M37" s="51"/>
      <c r="N37" s="52"/>
      <c r="O37" s="52"/>
      <c r="P37" s="75">
        <v>45220</v>
      </c>
      <c r="Q37" s="58">
        <v>6.44</v>
      </c>
      <c r="R37" s="44"/>
      <c r="S37" s="75">
        <v>45220</v>
      </c>
      <c r="T37" s="58">
        <f t="shared" si="3"/>
        <v>6.67</v>
      </c>
      <c r="U37" s="58">
        <f t="shared" si="2"/>
        <v>0.23</v>
      </c>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t="56" hidden="1">
      <c r="A48" s="43">
        <v>3</v>
      </c>
      <c r="B48" s="43" t="str">
        <f>B26</f>
        <v>四川合纵药易购医药股份有限公司</v>
      </c>
      <c r="C48" s="43"/>
      <c r="D48" s="43"/>
      <c r="E48" s="43"/>
      <c r="F48" s="43"/>
      <c r="G48" s="43"/>
      <c r="H48" s="71"/>
      <c r="I48" s="43"/>
      <c r="J48" s="71"/>
      <c r="K48" s="71"/>
      <c r="L48" s="43"/>
      <c r="M48" s="49"/>
      <c r="N48" s="50"/>
      <c r="O48" s="50"/>
      <c r="P48" s="76"/>
      <c r="Q48" s="55">
        <f>SUM(Q49:Q69)</f>
        <v>0</v>
      </c>
      <c r="R48" s="43"/>
      <c r="S48" s="43"/>
      <c r="T48" s="43"/>
      <c r="U48" s="56"/>
      <c r="V48" s="50"/>
      <c r="W48" s="43"/>
      <c r="X48" s="57"/>
      <c r="Y48" s="43"/>
      <c r="Z48" s="43"/>
      <c r="AA48" s="43"/>
      <c r="AB48" s="43"/>
    </row>
    <row r="49" spans="1:28" s="35" customFormat="1" hidden="1">
      <c r="A49" s="44"/>
      <c r="B49" s="44"/>
      <c r="C49" s="44"/>
      <c r="D49" s="44"/>
      <c r="E49" s="44"/>
      <c r="F49" s="44"/>
      <c r="G49" s="44"/>
      <c r="H49" s="42"/>
      <c r="I49" s="44"/>
      <c r="J49" s="42"/>
      <c r="K49" s="42"/>
      <c r="L49" s="44"/>
      <c r="M49" s="51"/>
      <c r="N49" s="52"/>
      <c r="O49" s="52"/>
      <c r="P49" s="75"/>
      <c r="Q49" s="58"/>
      <c r="R49" s="44"/>
      <c r="S49" s="53"/>
      <c r="T49" s="58"/>
      <c r="U49" s="58"/>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c r="T50" s="58"/>
      <c r="U50" s="58"/>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t="48" hidden="1" customHeight="1">
      <c r="A70" s="43"/>
      <c r="B70" s="43"/>
      <c r="C70" s="43"/>
      <c r="D70" s="43"/>
      <c r="E70" s="43"/>
      <c r="F70" s="43"/>
      <c r="G70" s="43"/>
      <c r="H70" s="71"/>
      <c r="I70" s="43"/>
      <c r="J70" s="71"/>
      <c r="K70" s="71"/>
      <c r="L70" s="43"/>
      <c r="M70" s="49"/>
      <c r="N70" s="50"/>
      <c r="O70" s="50"/>
      <c r="P70" s="76"/>
      <c r="Q70" s="55">
        <f>SUM(Q71:Q91)</f>
        <v>0</v>
      </c>
      <c r="R70" s="43"/>
      <c r="S70" s="43"/>
      <c r="T70" s="43"/>
      <c r="U70" s="43"/>
      <c r="V70" s="50"/>
      <c r="W70" s="43"/>
      <c r="X70" s="64"/>
      <c r="Y70" s="43"/>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B70</f>
        <v>0</v>
      </c>
      <c r="C92" s="43"/>
      <c r="D92" s="43"/>
      <c r="E92" s="43"/>
      <c r="F92" s="43"/>
      <c r="G92" s="43"/>
      <c r="H92" s="71"/>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3000</v>
      </c>
      <c r="L114" s="43"/>
      <c r="M114" s="49"/>
      <c r="N114" s="50"/>
      <c r="O114" s="50"/>
      <c r="P114" s="76"/>
      <c r="Q114" s="43"/>
      <c r="R114" s="43">
        <f>R92+R70+R48+R26++R4</f>
        <v>55</v>
      </c>
      <c r="S114" s="43"/>
      <c r="T114" s="43"/>
      <c r="U114" s="43"/>
      <c r="V114" s="43"/>
      <c r="W114" s="43"/>
      <c r="X114" s="43"/>
      <c r="Y114" s="43">
        <f>Y92+Y70+Y48+Y26++Y4</f>
        <v>55</v>
      </c>
      <c r="Z114" s="43"/>
      <c r="AA114" s="43"/>
      <c r="AB114" s="43"/>
    </row>
    <row r="115" spans="1:28">
      <c r="I115" s="36" t="s">
        <v>49</v>
      </c>
      <c r="K115" s="72">
        <f>IF(K114&gt;3000,K116,K114)</f>
        <v>3000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D115"/>
  <sheetViews>
    <sheetView zoomScale="70" zoomScaleNormal="70" workbookViewId="0">
      <pane ySplit="3" topLeftCell="A4" activePane="bottomLeft" state="frozen"/>
      <selection pane="bottomLeft" activeCell="K29" sqref="K29"/>
    </sheetView>
  </sheetViews>
  <sheetFormatPr defaultColWidth="9" defaultRowHeight="14"/>
  <cols>
    <col min="1" max="6" width="9" style="36"/>
    <col min="7" max="7" width="9" style="36" customWidth="1"/>
    <col min="8"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四川拓及轨道交通设备股份有限公司审计明细表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ustomHeight="1">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98">
      <c r="A4" s="43">
        <v>1</v>
      </c>
      <c r="B4" s="43" t="s">
        <v>723</v>
      </c>
      <c r="C4" s="43" t="s">
        <v>52</v>
      </c>
      <c r="D4" s="43" t="s">
        <v>975</v>
      </c>
      <c r="E4" s="43" t="s">
        <v>54</v>
      </c>
      <c r="F4" s="43" t="s">
        <v>956</v>
      </c>
      <c r="G4" s="43" t="s">
        <v>976</v>
      </c>
      <c r="H4" s="43" t="s">
        <v>71</v>
      </c>
      <c r="I4" s="43" t="s">
        <v>57</v>
      </c>
      <c r="J4" s="71" t="s">
        <v>73</v>
      </c>
      <c r="K4" s="71">
        <v>500</v>
      </c>
      <c r="L4" s="43" t="s">
        <v>977</v>
      </c>
      <c r="M4" s="49" t="s">
        <v>978</v>
      </c>
      <c r="N4" s="50">
        <v>45159</v>
      </c>
      <c r="O4" s="50">
        <v>45291</v>
      </c>
      <c r="P4" s="43">
        <f>P7-N4</f>
        <v>213</v>
      </c>
      <c r="Q4" s="55">
        <f>SUM(Q5:Q25)</f>
        <v>11.24</v>
      </c>
      <c r="R4" s="55">
        <v>2.71</v>
      </c>
      <c r="S4" s="43"/>
      <c r="T4" s="55">
        <f>SUM(T5:T25)</f>
        <v>11.24</v>
      </c>
      <c r="U4" s="56">
        <v>3.7999999999999999E-2</v>
      </c>
      <c r="V4" s="50"/>
      <c r="W4" s="43" t="s">
        <v>42</v>
      </c>
      <c r="X4" s="57">
        <v>1.4999999999999999E-2</v>
      </c>
      <c r="Y4" s="43">
        <f>ROUNDDOWN(IF((O4-N4+1)*K4*X4/365&gt;R4,R4,(O4-N4+1)*K4*X4/365),2)</f>
        <v>2.71</v>
      </c>
      <c r="Z4" s="55">
        <f>R4-Y4</f>
        <v>0</v>
      </c>
      <c r="AA4" s="55"/>
      <c r="AB4" s="43" t="s">
        <v>61</v>
      </c>
      <c r="AD4" s="61">
        <f>(O4-N4+1)*K4*X4/365</f>
        <v>2.7328999999999999</v>
      </c>
    </row>
    <row r="5" spans="1:30" s="35" customFormat="1">
      <c r="A5" s="44"/>
      <c r="B5" s="44"/>
      <c r="C5" s="44"/>
      <c r="D5" s="44"/>
      <c r="E5" s="44"/>
      <c r="F5" s="44"/>
      <c r="G5" s="44"/>
      <c r="H5" s="44"/>
      <c r="I5" s="44"/>
      <c r="J5" s="42"/>
      <c r="K5" s="42"/>
      <c r="L5" s="44"/>
      <c r="M5" s="51"/>
      <c r="N5" s="52"/>
      <c r="O5" s="50">
        <v>45524</v>
      </c>
      <c r="P5" s="75">
        <v>45190</v>
      </c>
      <c r="Q5" s="58">
        <v>1.64</v>
      </c>
      <c r="R5" s="44"/>
      <c r="S5" s="75">
        <v>45190</v>
      </c>
      <c r="T5" s="58">
        <f>(S5-N4)/360*$U$4*$K$4</f>
        <v>1.64</v>
      </c>
      <c r="U5" s="58">
        <f>T5-Q5</f>
        <v>0</v>
      </c>
      <c r="V5" s="52"/>
      <c r="W5" s="44"/>
      <c r="X5" s="44"/>
      <c r="Y5" s="44">
        <f>ROUNDDOWN((V5-N4)*K4*X4/365,2)</f>
        <v>-927.92</v>
      </c>
      <c r="Z5" s="44"/>
      <c r="AA5" s="44"/>
      <c r="AB5" s="44"/>
    </row>
    <row r="6" spans="1:30" s="35" customFormat="1">
      <c r="A6" s="44"/>
      <c r="B6" s="44"/>
      <c r="C6" s="44"/>
      <c r="D6" s="44"/>
      <c r="E6" s="44"/>
      <c r="F6" s="44"/>
      <c r="G6" s="44"/>
      <c r="H6" s="44"/>
      <c r="I6" s="44"/>
      <c r="J6" s="42"/>
      <c r="K6" s="42"/>
      <c r="L6" s="44"/>
      <c r="M6" s="51"/>
      <c r="N6" s="52"/>
      <c r="O6" s="52"/>
      <c r="P6" s="75">
        <v>45281</v>
      </c>
      <c r="Q6" s="58">
        <v>4.8</v>
      </c>
      <c r="R6" s="44"/>
      <c r="S6" s="75">
        <v>45281</v>
      </c>
      <c r="T6" s="58">
        <f>(S6-S5)*$K$4*$U$4/360</f>
        <v>4.8</v>
      </c>
      <c r="U6" s="58">
        <f>T6-Q6</f>
        <v>0</v>
      </c>
      <c r="V6" s="44"/>
      <c r="W6" s="44"/>
      <c r="X6" s="44"/>
      <c r="Y6" s="44"/>
      <c r="Z6" s="44"/>
      <c r="AA6" s="44"/>
      <c r="AB6" s="44"/>
    </row>
    <row r="7" spans="1:30" s="35" customFormat="1">
      <c r="A7" s="44"/>
      <c r="B7" s="44"/>
      <c r="C7" s="44"/>
      <c r="D7" s="44"/>
      <c r="E7" s="44"/>
      <c r="F7" s="44"/>
      <c r="G7" s="44"/>
      <c r="H7" s="44"/>
      <c r="I7" s="44"/>
      <c r="J7" s="42"/>
      <c r="K7" s="42"/>
      <c r="L7" s="44"/>
      <c r="M7" s="51"/>
      <c r="N7" s="52"/>
      <c r="O7" s="52"/>
      <c r="P7" s="75">
        <v>45372</v>
      </c>
      <c r="Q7" s="58">
        <v>4.8</v>
      </c>
      <c r="R7" s="44"/>
      <c r="S7" s="75">
        <v>45372</v>
      </c>
      <c r="T7" s="58">
        <f>(S7-S6)*$K$4*$U$4/360</f>
        <v>4.8</v>
      </c>
      <c r="U7" s="58">
        <f>T7-Q7</f>
        <v>0</v>
      </c>
      <c r="V7" s="44"/>
      <c r="W7" s="44"/>
      <c r="X7" s="44"/>
      <c r="Y7" s="44"/>
      <c r="Z7" s="44"/>
      <c r="AA7" s="44"/>
      <c r="AB7" s="44"/>
    </row>
    <row r="8" spans="1:30" s="35" customFormat="1" hidden="1">
      <c r="A8" s="44"/>
      <c r="B8" s="44"/>
      <c r="C8" s="44"/>
      <c r="D8" s="44"/>
      <c r="E8" s="44"/>
      <c r="F8" s="44"/>
      <c r="G8" s="44"/>
      <c r="H8" s="44"/>
      <c r="I8" s="44"/>
      <c r="J8" s="42"/>
      <c r="K8" s="42"/>
      <c r="L8" s="44"/>
      <c r="M8" s="51"/>
      <c r="N8" s="52"/>
      <c r="O8" s="52"/>
      <c r="P8" s="75"/>
      <c r="Q8" s="58"/>
      <c r="R8" s="44"/>
      <c r="S8" s="75"/>
      <c r="T8" s="58"/>
      <c r="U8" s="102"/>
      <c r="V8" s="44"/>
      <c r="W8" s="44"/>
      <c r="X8" s="44"/>
      <c r="Y8" s="44"/>
      <c r="Z8" s="44"/>
      <c r="AA8" s="44"/>
      <c r="AB8" s="44"/>
    </row>
    <row r="9" spans="1:30" s="35" customFormat="1" hidden="1">
      <c r="A9" s="44"/>
      <c r="B9" s="44"/>
      <c r="C9" s="44"/>
      <c r="D9" s="44"/>
      <c r="E9" s="44"/>
      <c r="F9" s="44"/>
      <c r="G9" s="44"/>
      <c r="H9" s="44"/>
      <c r="I9" s="44"/>
      <c r="J9" s="42"/>
      <c r="K9" s="42"/>
      <c r="L9" s="44"/>
      <c r="M9" s="51"/>
      <c r="N9" s="52"/>
      <c r="O9" s="52"/>
      <c r="P9" s="75"/>
      <c r="Q9" s="58"/>
      <c r="R9" s="44"/>
      <c r="S9" s="75"/>
      <c r="T9" s="58"/>
      <c r="U9" s="102"/>
      <c r="V9" s="44"/>
      <c r="W9" s="44"/>
      <c r="X9" s="44"/>
      <c r="Y9" s="44"/>
      <c r="Z9" s="44"/>
      <c r="AA9" s="44"/>
      <c r="AB9" s="44"/>
    </row>
    <row r="10" spans="1:30" s="35" customFormat="1" hidden="1">
      <c r="A10" s="44"/>
      <c r="B10" s="44"/>
      <c r="C10" s="44"/>
      <c r="D10" s="44"/>
      <c r="E10" s="44"/>
      <c r="F10" s="44"/>
      <c r="G10" s="44"/>
      <c r="H10" s="44"/>
      <c r="I10" s="44"/>
      <c r="J10" s="42"/>
      <c r="K10" s="42"/>
      <c r="L10" s="44"/>
      <c r="M10" s="51"/>
      <c r="N10" s="52"/>
      <c r="O10" s="52"/>
      <c r="P10" s="75"/>
      <c r="Q10" s="58"/>
      <c r="R10" s="44"/>
      <c r="S10" s="75"/>
      <c r="T10" s="58"/>
      <c r="U10" s="102"/>
      <c r="V10" s="44"/>
      <c r="W10" s="44"/>
      <c r="X10" s="44"/>
      <c r="Y10" s="44"/>
      <c r="Z10" s="44"/>
      <c r="AA10" s="44"/>
      <c r="AB10" s="44"/>
    </row>
    <row r="11" spans="1:30" s="35" customFormat="1" hidden="1">
      <c r="A11" s="44"/>
      <c r="B11" s="44"/>
      <c r="C11" s="44"/>
      <c r="D11" s="44"/>
      <c r="E11" s="44"/>
      <c r="F11" s="44"/>
      <c r="G11" s="44"/>
      <c r="H11" s="44"/>
      <c r="I11" s="44"/>
      <c r="J11" s="42"/>
      <c r="K11" s="42"/>
      <c r="L11" s="44"/>
      <c r="M11" s="51"/>
      <c r="N11" s="52"/>
      <c r="O11" s="52"/>
      <c r="P11" s="75"/>
      <c r="Q11" s="58"/>
      <c r="R11" s="44"/>
      <c r="S11" s="75"/>
      <c r="T11" s="58"/>
      <c r="U11" s="102"/>
      <c r="V11" s="44"/>
      <c r="W11" s="44"/>
      <c r="X11" s="44"/>
      <c r="Y11" s="44"/>
      <c r="Z11" s="44"/>
      <c r="AA11" s="44"/>
      <c r="AB11" s="44"/>
    </row>
    <row r="12" spans="1:30" s="35" customFormat="1" hidden="1">
      <c r="A12" s="44"/>
      <c r="B12" s="44"/>
      <c r="C12" s="44"/>
      <c r="D12" s="44"/>
      <c r="E12" s="44"/>
      <c r="F12" s="44"/>
      <c r="G12" s="44"/>
      <c r="H12" s="44"/>
      <c r="I12" s="44"/>
      <c r="J12" s="42"/>
      <c r="K12" s="42"/>
      <c r="L12" s="44"/>
      <c r="M12" s="51"/>
      <c r="N12" s="52"/>
      <c r="O12" s="52"/>
      <c r="P12" s="75"/>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2"/>
      <c r="K13" s="42"/>
      <c r="L13" s="44"/>
      <c r="M13" s="51"/>
      <c r="N13" s="52"/>
      <c r="O13" s="52"/>
      <c r="P13" s="75"/>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2"/>
      <c r="K14" s="42"/>
      <c r="L14" s="44"/>
      <c r="M14" s="51"/>
      <c r="N14" s="52"/>
      <c r="O14" s="52"/>
      <c r="P14" s="75"/>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2"/>
      <c r="K15" s="42"/>
      <c r="L15" s="44"/>
      <c r="M15" s="51"/>
      <c r="N15" s="52"/>
      <c r="O15" s="52"/>
      <c r="P15" s="75"/>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2"/>
      <c r="K16" s="42"/>
      <c r="L16" s="44"/>
      <c r="M16" s="51"/>
      <c r="N16" s="52"/>
      <c r="O16" s="52"/>
      <c r="P16" s="75"/>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2"/>
      <c r="K17" s="42"/>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2"/>
      <c r="K18" s="42"/>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2"/>
      <c r="K19" s="42"/>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2"/>
      <c r="K25" s="42"/>
      <c r="L25" s="44"/>
      <c r="M25" s="51"/>
      <c r="N25" s="52"/>
      <c r="O25" s="52"/>
      <c r="P25" s="75"/>
      <c r="Q25" s="58"/>
      <c r="R25" s="44"/>
      <c r="S25" s="53"/>
      <c r="T25" s="58"/>
      <c r="U25" s="58"/>
      <c r="V25" s="44"/>
      <c r="W25" s="44"/>
      <c r="X25" s="44"/>
      <c r="Y25" s="44"/>
      <c r="Z25" s="44"/>
      <c r="AA25" s="44"/>
      <c r="AB25" s="44"/>
    </row>
    <row r="26" spans="1:28" s="34" customFormat="1" ht="101.15" customHeight="1">
      <c r="A26" s="43">
        <v>2</v>
      </c>
      <c r="B26" s="43" t="s">
        <v>723</v>
      </c>
      <c r="C26" s="43" t="s">
        <v>52</v>
      </c>
      <c r="D26" s="43" t="s">
        <v>975</v>
      </c>
      <c r="E26" s="43" t="s">
        <v>54</v>
      </c>
      <c r="F26" s="43" t="s">
        <v>956</v>
      </c>
      <c r="G26" s="43" t="s">
        <v>976</v>
      </c>
      <c r="H26" s="43" t="s">
        <v>71</v>
      </c>
      <c r="I26" s="43" t="s">
        <v>979</v>
      </c>
      <c r="J26" s="71" t="s">
        <v>73</v>
      </c>
      <c r="K26" s="71">
        <v>500</v>
      </c>
      <c r="L26" s="43" t="s">
        <v>980</v>
      </c>
      <c r="M26" s="49" t="s">
        <v>981</v>
      </c>
      <c r="N26" s="50">
        <v>44986</v>
      </c>
      <c r="O26" s="50">
        <v>45291</v>
      </c>
      <c r="P26" s="43">
        <f>P38-N26</f>
        <v>356</v>
      </c>
      <c r="Q26" s="55">
        <f>SUM(Q27:Q38)</f>
        <v>19.62</v>
      </c>
      <c r="R26" s="43">
        <v>6.27</v>
      </c>
      <c r="S26" s="43"/>
      <c r="T26" s="55">
        <f>SUM(T27:T38)</f>
        <v>20.309999999999999</v>
      </c>
      <c r="U26" s="56">
        <v>4.1000000000000002E-2</v>
      </c>
      <c r="V26" s="50"/>
      <c r="W26" s="43" t="s">
        <v>42</v>
      </c>
      <c r="X26" s="57">
        <v>1.4999999999999999E-2</v>
      </c>
      <c r="Y26" s="43">
        <f>ROUNDDOWN(IF((O26-N26+1)*K26*X26/365&gt;R26,R26,(O26-N26+1)*K26*X26/365),2)</f>
        <v>6.27</v>
      </c>
      <c r="Z26" s="43">
        <f>R26-Y26</f>
        <v>0</v>
      </c>
      <c r="AA26" s="43"/>
      <c r="AB26" s="43" t="s">
        <v>61</v>
      </c>
    </row>
    <row r="27" spans="1:28" s="35" customFormat="1">
      <c r="A27" s="44"/>
      <c r="B27" s="44"/>
      <c r="C27" s="44"/>
      <c r="D27" s="44"/>
      <c r="E27" s="44"/>
      <c r="F27" s="44"/>
      <c r="G27" s="44"/>
      <c r="H27" s="44"/>
      <c r="I27" s="44"/>
      <c r="J27" s="42"/>
      <c r="K27" s="42"/>
      <c r="L27" s="44"/>
      <c r="M27" s="51"/>
      <c r="N27" s="52"/>
      <c r="O27" s="50">
        <v>45330</v>
      </c>
      <c r="P27" s="75">
        <v>45005</v>
      </c>
      <c r="Q27" s="58">
        <v>1.08</v>
      </c>
      <c r="R27" s="44"/>
      <c r="S27" s="75">
        <v>45005</v>
      </c>
      <c r="T27" s="58">
        <f>(S27-N26)/360*$U$26*$K$26</f>
        <v>1.08</v>
      </c>
      <c r="U27" s="58">
        <f t="shared" ref="U27:U38" si="0">T27-Q27</f>
        <v>0</v>
      </c>
      <c r="V27" s="52"/>
      <c r="W27" s="44"/>
      <c r="X27" s="44"/>
      <c r="Y27" s="62">
        <f>ROUNDUP((V27-N26)*K26*X26/365,2)</f>
        <v>-924.37</v>
      </c>
      <c r="Z27" s="44"/>
      <c r="AA27" s="44"/>
      <c r="AB27" s="44"/>
    </row>
    <row r="28" spans="1:28" s="35" customFormat="1">
      <c r="A28" s="44"/>
      <c r="B28" s="44"/>
      <c r="C28" s="44"/>
      <c r="D28" s="44"/>
      <c r="E28" s="44"/>
      <c r="F28" s="44"/>
      <c r="G28" s="44"/>
      <c r="H28" s="44"/>
      <c r="I28" s="44"/>
      <c r="J28" s="42"/>
      <c r="K28" s="42"/>
      <c r="L28" s="44"/>
      <c r="M28" s="51"/>
      <c r="N28" s="52"/>
      <c r="O28" s="52"/>
      <c r="P28" s="75">
        <v>45036</v>
      </c>
      <c r="Q28" s="58">
        <v>1.08</v>
      </c>
      <c r="R28" s="44"/>
      <c r="S28" s="75">
        <v>45036</v>
      </c>
      <c r="T28" s="58">
        <f t="shared" ref="T28:T38" si="1">(S28-S27)*$U$26*$K$26/360</f>
        <v>1.77</v>
      </c>
      <c r="U28" s="58">
        <f t="shared" si="0"/>
        <v>0.69</v>
      </c>
      <c r="V28" s="44"/>
      <c r="W28" s="44"/>
      <c r="X28" s="44"/>
      <c r="Y28" s="62"/>
      <c r="Z28" s="44"/>
      <c r="AA28" s="44"/>
      <c r="AB28" s="44"/>
    </row>
    <row r="29" spans="1:28" s="35" customFormat="1">
      <c r="A29" s="44"/>
      <c r="B29" s="44"/>
      <c r="C29" s="44"/>
      <c r="D29" s="44"/>
      <c r="E29" s="44"/>
      <c r="F29" s="44"/>
      <c r="G29" s="44"/>
      <c r="H29" s="44"/>
      <c r="I29" s="44"/>
      <c r="J29" s="42"/>
      <c r="K29" s="42"/>
      <c r="L29" s="44"/>
      <c r="M29" s="51"/>
      <c r="N29" s="52"/>
      <c r="O29" s="52"/>
      <c r="P29" s="75">
        <v>45066</v>
      </c>
      <c r="Q29" s="58">
        <v>1.71</v>
      </c>
      <c r="R29" s="44"/>
      <c r="S29" s="75">
        <v>45066</v>
      </c>
      <c r="T29" s="58">
        <f t="shared" si="1"/>
        <v>1.71</v>
      </c>
      <c r="U29" s="58">
        <f t="shared" si="0"/>
        <v>0</v>
      </c>
      <c r="V29" s="44"/>
      <c r="W29" s="44"/>
      <c r="X29" s="44"/>
      <c r="Y29" s="44"/>
      <c r="Z29" s="44"/>
      <c r="AA29" s="44"/>
      <c r="AB29" s="44"/>
    </row>
    <row r="30" spans="1:28" s="35" customFormat="1">
      <c r="A30" s="44"/>
      <c r="B30" s="44"/>
      <c r="C30" s="44"/>
      <c r="D30" s="44"/>
      <c r="E30" s="44"/>
      <c r="F30" s="44"/>
      <c r="G30" s="44"/>
      <c r="H30" s="44"/>
      <c r="I30" s="44"/>
      <c r="J30" s="42"/>
      <c r="K30" s="42"/>
      <c r="L30" s="44"/>
      <c r="M30" s="51"/>
      <c r="N30" s="52"/>
      <c r="O30" s="52"/>
      <c r="P30" s="75">
        <v>45097</v>
      </c>
      <c r="Q30" s="58">
        <v>1.77</v>
      </c>
      <c r="R30" s="44"/>
      <c r="S30" s="75">
        <v>45097</v>
      </c>
      <c r="T30" s="58">
        <f t="shared" si="1"/>
        <v>1.77</v>
      </c>
      <c r="U30" s="58">
        <f t="shared" si="0"/>
        <v>0</v>
      </c>
      <c r="V30" s="44"/>
      <c r="W30" s="44"/>
      <c r="X30" s="44"/>
      <c r="Y30" s="44"/>
      <c r="Z30" s="44"/>
      <c r="AA30" s="44"/>
      <c r="AB30" s="44"/>
    </row>
    <row r="31" spans="1:28" s="35" customFormat="1">
      <c r="A31" s="44"/>
      <c r="B31" s="44"/>
      <c r="C31" s="44"/>
      <c r="D31" s="44"/>
      <c r="E31" s="44"/>
      <c r="F31" s="44"/>
      <c r="G31" s="44"/>
      <c r="H31" s="44"/>
      <c r="I31" s="44"/>
      <c r="J31" s="42"/>
      <c r="K31" s="42"/>
      <c r="L31" s="44"/>
      <c r="M31" s="51"/>
      <c r="N31" s="52"/>
      <c r="O31" s="52"/>
      <c r="P31" s="75">
        <v>45127</v>
      </c>
      <c r="Q31" s="58">
        <v>1.71</v>
      </c>
      <c r="R31" s="44"/>
      <c r="S31" s="75">
        <v>45127</v>
      </c>
      <c r="T31" s="58">
        <f t="shared" si="1"/>
        <v>1.71</v>
      </c>
      <c r="U31" s="58">
        <f t="shared" si="0"/>
        <v>0</v>
      </c>
      <c r="V31" s="44"/>
      <c r="W31" s="44"/>
      <c r="X31" s="44"/>
      <c r="Y31" s="44"/>
      <c r="Z31" s="44"/>
      <c r="AA31" s="44"/>
      <c r="AB31" s="44"/>
    </row>
    <row r="32" spans="1:28" s="35" customFormat="1">
      <c r="A32" s="44"/>
      <c r="B32" s="44"/>
      <c r="C32" s="44"/>
      <c r="D32" s="44"/>
      <c r="E32" s="44"/>
      <c r="F32" s="44"/>
      <c r="G32" s="44"/>
      <c r="H32" s="44"/>
      <c r="I32" s="44"/>
      <c r="J32" s="42"/>
      <c r="K32" s="42"/>
      <c r="L32" s="44"/>
      <c r="M32" s="51"/>
      <c r="N32" s="52"/>
      <c r="O32" s="52"/>
      <c r="P32" s="75">
        <v>45158</v>
      </c>
      <c r="Q32" s="58">
        <v>1.77</v>
      </c>
      <c r="R32" s="44"/>
      <c r="S32" s="75">
        <v>45158</v>
      </c>
      <c r="T32" s="58">
        <f t="shared" si="1"/>
        <v>1.77</v>
      </c>
      <c r="U32" s="58">
        <f t="shared" si="0"/>
        <v>0</v>
      </c>
      <c r="V32" s="44"/>
      <c r="W32" s="44"/>
      <c r="X32" s="44"/>
      <c r="Y32" s="44"/>
      <c r="Z32" s="44"/>
      <c r="AA32" s="44"/>
      <c r="AB32" s="44"/>
    </row>
    <row r="33" spans="1:28" s="35" customFormat="1">
      <c r="A33" s="44"/>
      <c r="B33" s="44"/>
      <c r="C33" s="44"/>
      <c r="D33" s="44"/>
      <c r="E33" s="44"/>
      <c r="F33" s="44"/>
      <c r="G33" s="44"/>
      <c r="H33" s="44"/>
      <c r="I33" s="44"/>
      <c r="J33" s="42"/>
      <c r="K33" s="42"/>
      <c r="L33" s="44"/>
      <c r="M33" s="51"/>
      <c r="N33" s="52"/>
      <c r="O33" s="52"/>
      <c r="P33" s="75">
        <v>45189</v>
      </c>
      <c r="Q33" s="58">
        <v>1.77</v>
      </c>
      <c r="R33" s="44"/>
      <c r="S33" s="75">
        <v>45189</v>
      </c>
      <c r="T33" s="58">
        <f t="shared" si="1"/>
        <v>1.77</v>
      </c>
      <c r="U33" s="58">
        <f t="shared" si="0"/>
        <v>0</v>
      </c>
      <c r="V33" s="44"/>
      <c r="W33" s="44"/>
      <c r="X33" s="44"/>
      <c r="Y33" s="44"/>
      <c r="Z33" s="44"/>
      <c r="AA33" s="44"/>
      <c r="AB33" s="44"/>
    </row>
    <row r="34" spans="1:28" s="35" customFormat="1">
      <c r="A34" s="44"/>
      <c r="B34" s="44"/>
      <c r="C34" s="44"/>
      <c r="D34" s="44"/>
      <c r="E34" s="44"/>
      <c r="F34" s="44"/>
      <c r="G34" s="44"/>
      <c r="H34" s="44"/>
      <c r="I34" s="44"/>
      <c r="J34" s="42"/>
      <c r="K34" s="42"/>
      <c r="L34" s="44"/>
      <c r="M34" s="51"/>
      <c r="N34" s="52"/>
      <c r="O34" s="52"/>
      <c r="P34" s="75">
        <v>45219</v>
      </c>
      <c r="Q34" s="58">
        <v>1.71</v>
      </c>
      <c r="R34" s="44"/>
      <c r="S34" s="75">
        <v>45219</v>
      </c>
      <c r="T34" s="58">
        <f t="shared" si="1"/>
        <v>1.71</v>
      </c>
      <c r="U34" s="58">
        <f t="shared" si="0"/>
        <v>0</v>
      </c>
      <c r="V34" s="44"/>
      <c r="W34" s="44"/>
      <c r="X34" s="44"/>
      <c r="Y34" s="44"/>
      <c r="Z34" s="44"/>
      <c r="AA34" s="44"/>
      <c r="AB34" s="44"/>
    </row>
    <row r="35" spans="1:28" s="35" customFormat="1">
      <c r="A35" s="44"/>
      <c r="B35" s="44"/>
      <c r="C35" s="44"/>
      <c r="D35" s="44"/>
      <c r="E35" s="44"/>
      <c r="F35" s="44"/>
      <c r="G35" s="44"/>
      <c r="H35" s="44"/>
      <c r="I35" s="44"/>
      <c r="J35" s="42"/>
      <c r="K35" s="42"/>
      <c r="L35" s="44"/>
      <c r="M35" s="51"/>
      <c r="N35" s="52"/>
      <c r="O35" s="52"/>
      <c r="P35" s="75">
        <v>45250</v>
      </c>
      <c r="Q35" s="58">
        <v>1.77</v>
      </c>
      <c r="R35" s="44"/>
      <c r="S35" s="75">
        <v>45250</v>
      </c>
      <c r="T35" s="58">
        <f t="shared" si="1"/>
        <v>1.77</v>
      </c>
      <c r="U35" s="58">
        <f t="shared" si="0"/>
        <v>0</v>
      </c>
      <c r="V35" s="44"/>
      <c r="W35" s="44"/>
      <c r="X35" s="44"/>
      <c r="Y35" s="44"/>
      <c r="Z35" s="44"/>
      <c r="AA35" s="44"/>
      <c r="AB35" s="44"/>
    </row>
    <row r="36" spans="1:28" s="35" customFormat="1">
      <c r="A36" s="44"/>
      <c r="B36" s="44"/>
      <c r="C36" s="44"/>
      <c r="D36" s="44"/>
      <c r="E36" s="44"/>
      <c r="F36" s="44"/>
      <c r="G36" s="44"/>
      <c r="H36" s="44"/>
      <c r="I36" s="44"/>
      <c r="J36" s="42"/>
      <c r="K36" s="42"/>
      <c r="L36" s="44"/>
      <c r="M36" s="51"/>
      <c r="N36" s="52"/>
      <c r="O36" s="52"/>
      <c r="P36" s="75">
        <v>45280</v>
      </c>
      <c r="Q36" s="58">
        <v>1.71</v>
      </c>
      <c r="R36" s="44"/>
      <c r="S36" s="75">
        <v>45280</v>
      </c>
      <c r="T36" s="58">
        <f t="shared" si="1"/>
        <v>1.71</v>
      </c>
      <c r="U36" s="58">
        <f t="shared" si="0"/>
        <v>0</v>
      </c>
      <c r="V36" s="44"/>
      <c r="W36" s="44"/>
      <c r="X36" s="44"/>
      <c r="Y36" s="44"/>
      <c r="Z36" s="44"/>
      <c r="AA36" s="44"/>
      <c r="AB36" s="44"/>
    </row>
    <row r="37" spans="1:28" s="35" customFormat="1">
      <c r="A37" s="44"/>
      <c r="B37" s="44"/>
      <c r="C37" s="44"/>
      <c r="D37" s="44"/>
      <c r="E37" s="44"/>
      <c r="F37" s="44"/>
      <c r="G37" s="44"/>
      <c r="H37" s="44"/>
      <c r="I37" s="44"/>
      <c r="J37" s="42"/>
      <c r="K37" s="42"/>
      <c r="L37" s="44"/>
      <c r="M37" s="51"/>
      <c r="N37" s="52"/>
      <c r="O37" s="52"/>
      <c r="P37" s="75">
        <v>45311</v>
      </c>
      <c r="Q37" s="58">
        <v>1.77</v>
      </c>
      <c r="R37" s="44"/>
      <c r="S37" s="75">
        <v>45311</v>
      </c>
      <c r="T37" s="58">
        <f t="shared" si="1"/>
        <v>1.77</v>
      </c>
      <c r="U37" s="58">
        <f t="shared" si="0"/>
        <v>0</v>
      </c>
      <c r="V37" s="44"/>
      <c r="W37" s="44"/>
      <c r="X37" s="44"/>
      <c r="Y37" s="44"/>
      <c r="Z37" s="44"/>
      <c r="AA37" s="44"/>
      <c r="AB37" s="44"/>
    </row>
    <row r="38" spans="1:28" s="35" customFormat="1">
      <c r="A38" s="44"/>
      <c r="B38" s="44"/>
      <c r="C38" s="44"/>
      <c r="D38" s="44"/>
      <c r="E38" s="44"/>
      <c r="F38" s="44"/>
      <c r="G38" s="44"/>
      <c r="H38" s="44"/>
      <c r="I38" s="44"/>
      <c r="J38" s="42"/>
      <c r="K38" s="42"/>
      <c r="L38" s="44"/>
      <c r="M38" s="51"/>
      <c r="N38" s="52"/>
      <c r="O38" s="52"/>
      <c r="P38" s="75">
        <v>45342</v>
      </c>
      <c r="Q38" s="58">
        <v>1.77</v>
      </c>
      <c r="R38" s="44"/>
      <c r="S38" s="75">
        <v>45342</v>
      </c>
      <c r="T38" s="58">
        <f t="shared" si="1"/>
        <v>1.77</v>
      </c>
      <c r="U38" s="58">
        <f t="shared" si="0"/>
        <v>0</v>
      </c>
      <c r="V38" s="44"/>
      <c r="W38" s="44"/>
      <c r="X38" s="44"/>
      <c r="Y38" s="44"/>
      <c r="Z38" s="44"/>
      <c r="AA38" s="44"/>
      <c r="AB38" s="44"/>
    </row>
    <row r="39" spans="1:28" s="35" customFormat="1" hidden="1">
      <c r="A39" s="44"/>
      <c r="B39" s="44"/>
      <c r="C39" s="44"/>
      <c r="D39" s="44"/>
      <c r="E39" s="44"/>
      <c r="F39" s="44"/>
      <c r="G39" s="44"/>
      <c r="H39" s="44"/>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2"/>
      <c r="K46" s="42"/>
      <c r="L46" s="44"/>
      <c r="M46" s="51"/>
      <c r="N46" s="52"/>
      <c r="O46" s="52"/>
      <c r="P46" s="75"/>
      <c r="Q46" s="58"/>
      <c r="R46" s="44"/>
      <c r="S46" s="53"/>
      <c r="T46" s="58"/>
      <c r="U46" s="58"/>
      <c r="V46" s="44"/>
      <c r="W46" s="44"/>
      <c r="X46" s="44"/>
      <c r="Y46" s="44"/>
      <c r="Z46" s="44"/>
      <c r="AA46" s="44"/>
      <c r="AB46" s="44"/>
    </row>
    <row r="47" spans="1:28" s="35" customFormat="1" ht="22" hidden="1" customHeight="1">
      <c r="A47" s="44"/>
      <c r="B47" s="44"/>
      <c r="C47" s="44"/>
      <c r="D47" s="44"/>
      <c r="E47" s="44"/>
      <c r="F47" s="44"/>
      <c r="G47" s="44"/>
      <c r="H47" s="44"/>
      <c r="I47" s="44"/>
      <c r="J47" s="42"/>
      <c r="K47" s="42"/>
      <c r="L47" s="44"/>
      <c r="M47" s="51"/>
      <c r="N47" s="52"/>
      <c r="O47" s="52"/>
      <c r="P47" s="75"/>
      <c r="Q47" s="58"/>
      <c r="R47" s="44"/>
      <c r="S47" s="53"/>
      <c r="T47" s="58"/>
      <c r="U47" s="58"/>
      <c r="V47" s="44"/>
      <c r="W47" s="44"/>
      <c r="X47" s="44"/>
      <c r="Y47" s="44"/>
      <c r="Z47" s="44"/>
      <c r="AA47" s="44"/>
      <c r="AB47" s="44"/>
    </row>
    <row r="48" spans="1:28" s="34" customFormat="1" ht="98">
      <c r="A48" s="43">
        <v>3</v>
      </c>
      <c r="B48" s="43" t="s">
        <v>723</v>
      </c>
      <c r="C48" s="43" t="s">
        <v>52</v>
      </c>
      <c r="D48" s="43" t="s">
        <v>975</v>
      </c>
      <c r="E48" s="43" t="s">
        <v>54</v>
      </c>
      <c r="F48" s="43" t="s">
        <v>956</v>
      </c>
      <c r="G48" s="43" t="s">
        <v>976</v>
      </c>
      <c r="H48" s="43" t="s">
        <v>71</v>
      </c>
      <c r="I48" s="43" t="s">
        <v>979</v>
      </c>
      <c r="J48" s="71" t="s">
        <v>73</v>
      </c>
      <c r="K48" s="71">
        <v>500</v>
      </c>
      <c r="L48" s="43" t="s">
        <v>980</v>
      </c>
      <c r="M48" s="49" t="s">
        <v>982</v>
      </c>
      <c r="N48" s="50">
        <v>45017</v>
      </c>
      <c r="O48" s="50">
        <v>45291</v>
      </c>
      <c r="P48" s="43">
        <f>P59-N48</f>
        <v>325</v>
      </c>
      <c r="Q48" s="55">
        <f>SUM(Q49:Q69)</f>
        <v>19.23</v>
      </c>
      <c r="R48" s="43">
        <v>5.63</v>
      </c>
      <c r="S48" s="43"/>
      <c r="T48" s="55">
        <f>SUM(T49:T59)</f>
        <v>18.54</v>
      </c>
      <c r="U48" s="56">
        <v>4.1000000000000002E-2</v>
      </c>
      <c r="V48" s="50"/>
      <c r="W48" s="43" t="s">
        <v>42</v>
      </c>
      <c r="X48" s="57">
        <v>1.4999999999999999E-2</v>
      </c>
      <c r="Y48" s="43">
        <f>ROUNDDOWN(IF((O48-N48+1)*K48*X48/365&gt;R48,R48,(O48-N48+1)*K48*X48/365),2)</f>
        <v>5.63</v>
      </c>
      <c r="Z48" s="43">
        <f>R48-Y48</f>
        <v>0</v>
      </c>
      <c r="AA48" s="43"/>
      <c r="AB48" s="43" t="s">
        <v>61</v>
      </c>
    </row>
    <row r="49" spans="1:28" s="35" customFormat="1">
      <c r="A49" s="44"/>
      <c r="B49" s="44"/>
      <c r="C49" s="44"/>
      <c r="D49" s="44"/>
      <c r="E49" s="44"/>
      <c r="F49" s="44"/>
      <c r="G49" s="44"/>
      <c r="H49" s="44"/>
      <c r="I49" s="44"/>
      <c r="J49" s="42"/>
      <c r="K49" s="42"/>
      <c r="L49" s="44"/>
      <c r="M49" s="51"/>
      <c r="N49" s="52"/>
      <c r="O49" s="50">
        <v>45330</v>
      </c>
      <c r="P49" s="75">
        <v>45036</v>
      </c>
      <c r="Q49" s="58">
        <v>1.77</v>
      </c>
      <c r="R49" s="44"/>
      <c r="S49" s="75">
        <v>45036</v>
      </c>
      <c r="T49" s="58">
        <f>(S49-N48)/360*$U$48*$K$48</f>
        <v>1.08</v>
      </c>
      <c r="U49" s="58">
        <f t="shared" ref="U49:U59" si="2">T49-Q49</f>
        <v>-0.69</v>
      </c>
      <c r="V49" s="52"/>
      <c r="W49" s="44"/>
      <c r="X49" s="44"/>
      <c r="Y49" s="62">
        <f>ROUNDUP((V49-N48)*K48*X48/365,2)</f>
        <v>-925.01</v>
      </c>
      <c r="Z49" s="44"/>
      <c r="AA49" s="44"/>
      <c r="AB49" s="44"/>
    </row>
    <row r="50" spans="1:28" s="35" customFormat="1">
      <c r="A50" s="44"/>
      <c r="B50" s="44"/>
      <c r="C50" s="44"/>
      <c r="D50" s="44"/>
      <c r="E50" s="44"/>
      <c r="F50" s="44"/>
      <c r="G50" s="44"/>
      <c r="H50" s="44"/>
      <c r="I50" s="44"/>
      <c r="J50" s="42"/>
      <c r="K50" s="42"/>
      <c r="L50" s="44"/>
      <c r="M50" s="51"/>
      <c r="N50" s="52"/>
      <c r="O50" s="52"/>
      <c r="P50" s="75">
        <v>45066</v>
      </c>
      <c r="Q50" s="58">
        <v>1.71</v>
      </c>
      <c r="R50" s="44"/>
      <c r="S50" s="75">
        <v>45066</v>
      </c>
      <c r="T50" s="58">
        <f t="shared" ref="T50:T59" si="3">(S50-S49)*$U$26*$K$26/360</f>
        <v>1.71</v>
      </c>
      <c r="U50" s="58">
        <f t="shared" si="2"/>
        <v>0</v>
      </c>
      <c r="V50" s="44"/>
      <c r="W50" s="44"/>
      <c r="X50" s="44"/>
      <c r="Y50" s="44"/>
      <c r="Z50" s="44"/>
      <c r="AA50" s="44"/>
      <c r="AB50" s="44"/>
    </row>
    <row r="51" spans="1:28" s="35" customFormat="1">
      <c r="A51" s="44"/>
      <c r="B51" s="44"/>
      <c r="C51" s="44"/>
      <c r="D51" s="44"/>
      <c r="E51" s="44"/>
      <c r="F51" s="44"/>
      <c r="G51" s="44"/>
      <c r="H51" s="44"/>
      <c r="I51" s="44"/>
      <c r="J51" s="42"/>
      <c r="K51" s="42"/>
      <c r="L51" s="44"/>
      <c r="M51" s="51"/>
      <c r="N51" s="52"/>
      <c r="O51" s="52"/>
      <c r="P51" s="75">
        <v>45097</v>
      </c>
      <c r="Q51" s="58">
        <v>1.77</v>
      </c>
      <c r="R51" s="44"/>
      <c r="S51" s="75">
        <v>45097</v>
      </c>
      <c r="T51" s="58">
        <f t="shared" si="3"/>
        <v>1.77</v>
      </c>
      <c r="U51" s="58">
        <f t="shared" si="2"/>
        <v>0</v>
      </c>
      <c r="V51" s="44"/>
      <c r="W51" s="44"/>
      <c r="X51" s="44"/>
      <c r="Y51" s="44"/>
      <c r="Z51" s="44"/>
      <c r="AA51" s="44"/>
      <c r="AB51" s="44"/>
    </row>
    <row r="52" spans="1:28" s="35" customFormat="1">
      <c r="A52" s="44"/>
      <c r="B52" s="44"/>
      <c r="C52" s="44"/>
      <c r="D52" s="44"/>
      <c r="E52" s="44"/>
      <c r="F52" s="44"/>
      <c r="G52" s="44"/>
      <c r="H52" s="44"/>
      <c r="I52" s="44"/>
      <c r="J52" s="42"/>
      <c r="K52" s="42"/>
      <c r="L52" s="44"/>
      <c r="M52" s="51"/>
      <c r="N52" s="52"/>
      <c r="O52" s="52"/>
      <c r="P52" s="75">
        <v>45127</v>
      </c>
      <c r="Q52" s="58">
        <v>1.71</v>
      </c>
      <c r="R52" s="44"/>
      <c r="S52" s="75">
        <v>45127</v>
      </c>
      <c r="T52" s="58">
        <f t="shared" si="3"/>
        <v>1.71</v>
      </c>
      <c r="U52" s="58">
        <f t="shared" si="2"/>
        <v>0</v>
      </c>
      <c r="V52" s="44"/>
      <c r="W52" s="44"/>
      <c r="X52" s="44"/>
      <c r="Y52" s="44"/>
      <c r="Z52" s="44"/>
      <c r="AA52" s="44"/>
      <c r="AB52" s="44"/>
    </row>
    <row r="53" spans="1:28" s="35" customFormat="1">
      <c r="A53" s="44"/>
      <c r="B53" s="44"/>
      <c r="C53" s="44"/>
      <c r="D53" s="44"/>
      <c r="E53" s="44"/>
      <c r="F53" s="44"/>
      <c r="G53" s="44"/>
      <c r="H53" s="44"/>
      <c r="I53" s="44"/>
      <c r="J53" s="42"/>
      <c r="K53" s="42"/>
      <c r="L53" s="44"/>
      <c r="M53" s="51"/>
      <c r="N53" s="52"/>
      <c r="O53" s="52"/>
      <c r="P53" s="75">
        <v>45158</v>
      </c>
      <c r="Q53" s="58">
        <v>1.77</v>
      </c>
      <c r="R53" s="44"/>
      <c r="S53" s="75">
        <v>45158</v>
      </c>
      <c r="T53" s="58">
        <f t="shared" si="3"/>
        <v>1.77</v>
      </c>
      <c r="U53" s="58">
        <f t="shared" si="2"/>
        <v>0</v>
      </c>
      <c r="V53" s="44"/>
      <c r="W53" s="44"/>
      <c r="X53" s="44"/>
      <c r="Y53" s="44"/>
      <c r="Z53" s="44"/>
      <c r="AA53" s="44"/>
      <c r="AB53" s="44"/>
    </row>
    <row r="54" spans="1:28" s="35" customFormat="1">
      <c r="A54" s="44"/>
      <c r="B54" s="44"/>
      <c r="C54" s="44"/>
      <c r="D54" s="44"/>
      <c r="E54" s="44"/>
      <c r="F54" s="44"/>
      <c r="G54" s="44"/>
      <c r="H54" s="44"/>
      <c r="I54" s="44"/>
      <c r="J54" s="42"/>
      <c r="K54" s="42"/>
      <c r="L54" s="44"/>
      <c r="M54" s="51"/>
      <c r="N54" s="52"/>
      <c r="O54" s="52"/>
      <c r="P54" s="75">
        <v>45189</v>
      </c>
      <c r="Q54" s="58">
        <v>1.77</v>
      </c>
      <c r="R54" s="44"/>
      <c r="S54" s="75">
        <v>45189</v>
      </c>
      <c r="T54" s="58">
        <f t="shared" si="3"/>
        <v>1.77</v>
      </c>
      <c r="U54" s="58">
        <f t="shared" si="2"/>
        <v>0</v>
      </c>
      <c r="V54" s="44"/>
      <c r="W54" s="44"/>
      <c r="X54" s="44"/>
      <c r="Y54" s="44"/>
      <c r="Z54" s="44"/>
      <c r="AA54" s="44"/>
      <c r="AB54" s="44"/>
    </row>
    <row r="55" spans="1:28" s="35" customFormat="1">
      <c r="A55" s="44"/>
      <c r="B55" s="44"/>
      <c r="C55" s="44"/>
      <c r="D55" s="44"/>
      <c r="E55" s="44"/>
      <c r="F55" s="44"/>
      <c r="G55" s="44"/>
      <c r="H55" s="44"/>
      <c r="I55" s="44"/>
      <c r="J55" s="42"/>
      <c r="K55" s="42"/>
      <c r="L55" s="44"/>
      <c r="M55" s="51"/>
      <c r="N55" s="52"/>
      <c r="O55" s="52"/>
      <c r="P55" s="75">
        <v>45219</v>
      </c>
      <c r="Q55" s="58">
        <v>1.71</v>
      </c>
      <c r="R55" s="44"/>
      <c r="S55" s="75">
        <v>45219</v>
      </c>
      <c r="T55" s="58">
        <f t="shared" si="3"/>
        <v>1.71</v>
      </c>
      <c r="U55" s="58">
        <f t="shared" si="2"/>
        <v>0</v>
      </c>
      <c r="V55" s="44"/>
      <c r="W55" s="44"/>
      <c r="X55" s="44"/>
      <c r="Y55" s="44"/>
      <c r="Z55" s="44"/>
      <c r="AA55" s="44"/>
      <c r="AB55" s="44"/>
    </row>
    <row r="56" spans="1:28" s="35" customFormat="1">
      <c r="A56" s="44"/>
      <c r="B56" s="44"/>
      <c r="C56" s="44"/>
      <c r="D56" s="44"/>
      <c r="E56" s="44"/>
      <c r="F56" s="44"/>
      <c r="G56" s="44"/>
      <c r="H56" s="44"/>
      <c r="I56" s="44"/>
      <c r="J56" s="42"/>
      <c r="K56" s="42"/>
      <c r="L56" s="44"/>
      <c r="M56" s="51"/>
      <c r="N56" s="52"/>
      <c r="O56" s="52"/>
      <c r="P56" s="75">
        <v>45250</v>
      </c>
      <c r="Q56" s="58">
        <v>1.77</v>
      </c>
      <c r="R56" s="44"/>
      <c r="S56" s="75">
        <v>45250</v>
      </c>
      <c r="T56" s="58">
        <f t="shared" si="3"/>
        <v>1.77</v>
      </c>
      <c r="U56" s="58">
        <f t="shared" si="2"/>
        <v>0</v>
      </c>
      <c r="V56" s="44"/>
      <c r="W56" s="44"/>
      <c r="X56" s="44"/>
      <c r="Y56" s="44"/>
      <c r="Z56" s="44"/>
      <c r="AA56" s="44"/>
      <c r="AB56" s="44"/>
    </row>
    <row r="57" spans="1:28" s="35" customFormat="1">
      <c r="A57" s="44"/>
      <c r="B57" s="44"/>
      <c r="C57" s="44"/>
      <c r="D57" s="44"/>
      <c r="E57" s="44"/>
      <c r="F57" s="44"/>
      <c r="G57" s="44"/>
      <c r="H57" s="44"/>
      <c r="I57" s="44"/>
      <c r="J57" s="42"/>
      <c r="K57" s="42"/>
      <c r="L57" s="44"/>
      <c r="M57" s="51"/>
      <c r="N57" s="52"/>
      <c r="O57" s="52"/>
      <c r="P57" s="75">
        <v>45280</v>
      </c>
      <c r="Q57" s="58">
        <v>1.71</v>
      </c>
      <c r="R57" s="44"/>
      <c r="S57" s="75">
        <v>45280</v>
      </c>
      <c r="T57" s="58">
        <f t="shared" si="3"/>
        <v>1.71</v>
      </c>
      <c r="U57" s="58">
        <f t="shared" si="2"/>
        <v>0</v>
      </c>
      <c r="V57" s="44"/>
      <c r="W57" s="44"/>
      <c r="X57" s="44"/>
      <c r="Y57" s="44"/>
      <c r="Z57" s="44"/>
      <c r="AA57" s="44"/>
      <c r="AB57" s="44"/>
    </row>
    <row r="58" spans="1:28" s="35" customFormat="1">
      <c r="A58" s="44"/>
      <c r="B58" s="44"/>
      <c r="C58" s="44"/>
      <c r="D58" s="44"/>
      <c r="E58" s="44"/>
      <c r="F58" s="44"/>
      <c r="G58" s="44"/>
      <c r="H58" s="44"/>
      <c r="I58" s="44"/>
      <c r="J58" s="42"/>
      <c r="K58" s="42"/>
      <c r="L58" s="44"/>
      <c r="M58" s="51"/>
      <c r="N58" s="52"/>
      <c r="O58" s="52"/>
      <c r="P58" s="75">
        <v>45311</v>
      </c>
      <c r="Q58" s="58">
        <v>1.77</v>
      </c>
      <c r="R58" s="44"/>
      <c r="S58" s="75">
        <v>45311</v>
      </c>
      <c r="T58" s="58">
        <f t="shared" si="3"/>
        <v>1.77</v>
      </c>
      <c r="U58" s="58">
        <f t="shared" si="2"/>
        <v>0</v>
      </c>
      <c r="V58" s="44"/>
      <c r="W58" s="44"/>
      <c r="X58" s="44"/>
      <c r="Y58" s="44"/>
      <c r="Z58" s="44"/>
      <c r="AA58" s="44"/>
      <c r="AB58" s="44"/>
    </row>
    <row r="59" spans="1:28" s="35" customFormat="1">
      <c r="A59" s="44"/>
      <c r="B59" s="44"/>
      <c r="C59" s="44"/>
      <c r="D59" s="44"/>
      <c r="E59" s="44"/>
      <c r="F59" s="44"/>
      <c r="G59" s="44"/>
      <c r="H59" s="44"/>
      <c r="I59" s="44"/>
      <c r="J59" s="42"/>
      <c r="K59" s="42"/>
      <c r="L59" s="44"/>
      <c r="M59" s="51"/>
      <c r="N59" s="52"/>
      <c r="O59" s="52"/>
      <c r="P59" s="75">
        <v>45342</v>
      </c>
      <c r="Q59" s="58">
        <v>1.77</v>
      </c>
      <c r="R59" s="44"/>
      <c r="S59" s="75">
        <v>45342</v>
      </c>
      <c r="T59" s="58">
        <f t="shared" si="3"/>
        <v>1.77</v>
      </c>
      <c r="U59" s="58">
        <f t="shared" si="2"/>
        <v>0</v>
      </c>
      <c r="V59" s="44"/>
      <c r="W59" s="44"/>
      <c r="X59" s="44"/>
      <c r="Y59" s="44"/>
      <c r="Z59" s="44"/>
      <c r="AA59" s="44"/>
      <c r="AB59" s="44"/>
    </row>
    <row r="60" spans="1:28" s="35" customFormat="1" hidden="1">
      <c r="A60" s="44"/>
      <c r="B60" s="44"/>
      <c r="C60" s="44"/>
      <c r="D60" s="44"/>
      <c r="E60" s="44"/>
      <c r="F60" s="44"/>
      <c r="G60" s="44"/>
      <c r="H60" s="44"/>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c r="B70" s="43"/>
      <c r="C70" s="43"/>
      <c r="D70" s="43"/>
      <c r="E70" s="43"/>
      <c r="F70" s="43"/>
      <c r="G70" s="43"/>
      <c r="H70" s="43"/>
      <c r="I70" s="43"/>
      <c r="J70" s="71"/>
      <c r="K70" s="71"/>
      <c r="L70" s="43"/>
      <c r="M70" s="49"/>
      <c r="N70" s="50"/>
      <c r="O70" s="50"/>
      <c r="P70" s="76"/>
      <c r="Q70" s="55">
        <f>SUM(Q71:Q91)</f>
        <v>0</v>
      </c>
      <c r="R70" s="43"/>
      <c r="S70" s="43"/>
      <c r="T70" s="43"/>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c r="B92" s="43"/>
      <c r="C92" s="43"/>
      <c r="D92" s="43"/>
      <c r="E92" s="43"/>
      <c r="F92" s="43"/>
      <c r="G92" s="43"/>
      <c r="H92" s="43"/>
      <c r="I92" s="43"/>
      <c r="J92" s="71"/>
      <c r="K92" s="71"/>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4"/>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71"/>
      <c r="K114" s="71">
        <f>K92+K70+K48+K26++K4</f>
        <v>1500</v>
      </c>
      <c r="L114" s="43"/>
      <c r="M114" s="49"/>
      <c r="N114" s="50"/>
      <c r="O114" s="50"/>
      <c r="P114" s="76"/>
      <c r="Q114" s="43"/>
      <c r="R114" s="43">
        <f>R92+R70+R48+R26++R4</f>
        <v>14.61</v>
      </c>
      <c r="S114" s="43"/>
      <c r="T114" s="43"/>
      <c r="U114" s="43"/>
      <c r="V114" s="43"/>
      <c r="W114" s="43"/>
      <c r="X114" s="43"/>
      <c r="Y114" s="43">
        <f>Y92+Y70+Y48+Y26++Y4</f>
        <v>14.61</v>
      </c>
      <c r="Z114" s="43"/>
      <c r="AA114" s="43"/>
      <c r="AB114" s="43"/>
    </row>
    <row r="115" spans="1:28">
      <c r="I115" s="36" t="s">
        <v>49</v>
      </c>
      <c r="K115" s="72">
        <f>IF(K114&gt;3000,K116,K114)</f>
        <v>1500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D116"/>
  <sheetViews>
    <sheetView topLeftCell="H1" zoomScale="70" zoomScaleNormal="7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6" width="9.75" style="36" customWidth="1"/>
    <col min="27" max="28" width="9" style="36"/>
    <col min="29" max="29" width="9" style="36" hidden="1" customWidth="1"/>
    <col min="30" max="30" width="11.75" style="36" customWidth="1"/>
    <col min="31" max="16384" width="9" style="36"/>
  </cols>
  <sheetData>
    <row r="1" spans="1:30" ht="25">
      <c r="B1" s="163" t="str">
        <f>B4&amp;AC1</f>
        <v>成都凌亚科技有限公司审计明细表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112">
      <c r="A4" s="43">
        <v>1</v>
      </c>
      <c r="B4" s="43" t="s">
        <v>634</v>
      </c>
      <c r="C4" s="43" t="s">
        <v>983</v>
      </c>
      <c r="D4" s="43" t="s">
        <v>984</v>
      </c>
      <c r="E4" s="43" t="s">
        <v>121</v>
      </c>
      <c r="F4" s="43" t="s">
        <v>985</v>
      </c>
      <c r="G4" s="43" t="s">
        <v>986</v>
      </c>
      <c r="H4" s="43" t="s">
        <v>130</v>
      </c>
      <c r="I4" s="43" t="s">
        <v>987</v>
      </c>
      <c r="J4" s="43" t="s">
        <v>58</v>
      </c>
      <c r="K4" s="43">
        <v>1000</v>
      </c>
      <c r="L4" s="43" t="s">
        <v>988</v>
      </c>
      <c r="M4" s="49" t="s">
        <v>989</v>
      </c>
      <c r="N4" s="50">
        <v>45044</v>
      </c>
      <c r="O4" s="50">
        <v>45291</v>
      </c>
      <c r="P4" s="43">
        <f>P8-N4</f>
        <v>328</v>
      </c>
      <c r="Q4" s="55">
        <f>SUM(Q5:Q25)</f>
        <v>35.08</v>
      </c>
      <c r="R4" s="55">
        <v>10.19</v>
      </c>
      <c r="S4" s="43"/>
      <c r="T4" s="55">
        <f>SUM(T5:T25)</f>
        <v>35.08</v>
      </c>
      <c r="U4" s="56">
        <v>3.85E-2</v>
      </c>
      <c r="V4" s="50"/>
      <c r="W4" s="43" t="s">
        <v>42</v>
      </c>
      <c r="X4" s="57">
        <v>1.4999999999999999E-2</v>
      </c>
      <c r="Y4" s="43">
        <f>ROUNDDOWN(IF((O4-N4+1)*K4*X4/365&gt;R4,R4,(O4-N4+1)*K4*X4/365),2)</f>
        <v>10.19</v>
      </c>
      <c r="Z4" s="55">
        <f>R4-Y4</f>
        <v>0</v>
      </c>
      <c r="AA4" s="55"/>
      <c r="AB4" s="43" t="s">
        <v>61</v>
      </c>
      <c r="AD4" s="61">
        <f>(O4-N4+1)*K4*X4/365</f>
        <v>10.191800000000001</v>
      </c>
    </row>
    <row r="5" spans="1:30" s="35" customFormat="1">
      <c r="A5" s="44"/>
      <c r="B5" s="44"/>
      <c r="C5" s="44"/>
      <c r="D5" s="44"/>
      <c r="E5" s="44"/>
      <c r="F5" s="44"/>
      <c r="G5" s="44"/>
      <c r="H5" s="44"/>
      <c r="I5" s="44"/>
      <c r="J5" s="44"/>
      <c r="K5" s="44"/>
      <c r="L5" s="44"/>
      <c r="M5" s="51"/>
      <c r="N5" s="52"/>
      <c r="O5" s="50">
        <v>45410</v>
      </c>
      <c r="P5" s="75">
        <v>45098</v>
      </c>
      <c r="Q5" s="58">
        <v>5.78</v>
      </c>
      <c r="R5" s="44"/>
      <c r="S5" s="75">
        <v>45098</v>
      </c>
      <c r="T5" s="58">
        <f>(S5-N4)/360*$U$4*$K$4</f>
        <v>5.78</v>
      </c>
      <c r="U5" s="58">
        <f>T5-Q5</f>
        <v>0</v>
      </c>
      <c r="V5" s="52"/>
      <c r="W5" s="44"/>
      <c r="X5" s="44"/>
      <c r="Y5" s="44">
        <f>ROUNDDOWN((V5-N4)*K4*X4/365,2)</f>
        <v>-1851.12</v>
      </c>
      <c r="Z5" s="44"/>
      <c r="AA5" s="44"/>
      <c r="AB5" s="44"/>
    </row>
    <row r="6" spans="1:30" s="35" customFormat="1">
      <c r="A6" s="44"/>
      <c r="B6" s="44"/>
      <c r="C6" s="44"/>
      <c r="D6" s="44"/>
      <c r="E6" s="44"/>
      <c r="F6" s="44"/>
      <c r="G6" s="44"/>
      <c r="H6" s="44"/>
      <c r="I6" s="44"/>
      <c r="J6" s="44"/>
      <c r="K6" s="44"/>
      <c r="L6" s="44"/>
      <c r="M6" s="51"/>
      <c r="N6" s="52"/>
      <c r="O6" s="52"/>
      <c r="P6" s="75">
        <v>45190</v>
      </c>
      <c r="Q6" s="58">
        <v>9.84</v>
      </c>
      <c r="R6" s="44"/>
      <c r="S6" s="75">
        <v>45190</v>
      </c>
      <c r="T6" s="58">
        <f>(S6-S5)*$K$4*$U$4/360</f>
        <v>9.84</v>
      </c>
      <c r="U6" s="58">
        <f>T6-Q6</f>
        <v>0</v>
      </c>
      <c r="V6" s="44"/>
      <c r="W6" s="44"/>
      <c r="X6" s="44"/>
      <c r="Y6" s="44"/>
      <c r="Z6" s="44"/>
      <c r="AA6" s="44"/>
      <c r="AB6" s="44"/>
    </row>
    <row r="7" spans="1:30" s="35" customFormat="1">
      <c r="A7" s="44"/>
      <c r="B7" s="44"/>
      <c r="C7" s="44"/>
      <c r="D7" s="44"/>
      <c r="E7" s="44"/>
      <c r="F7" s="44"/>
      <c r="G7" s="44"/>
      <c r="H7" s="44"/>
      <c r="I7" s="44"/>
      <c r="J7" s="44"/>
      <c r="K7" s="44"/>
      <c r="L7" s="44"/>
      <c r="M7" s="51"/>
      <c r="N7" s="52"/>
      <c r="O7" s="52"/>
      <c r="P7" s="75">
        <v>45281</v>
      </c>
      <c r="Q7" s="58">
        <v>9.73</v>
      </c>
      <c r="R7" s="44"/>
      <c r="S7" s="75">
        <v>45281</v>
      </c>
      <c r="T7" s="58">
        <f>(S7-S6)*$K$4*$U$4/360</f>
        <v>9.73</v>
      </c>
      <c r="U7" s="58">
        <f>T7-Q7</f>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45372</v>
      </c>
      <c r="Q8" s="58">
        <v>9.73</v>
      </c>
      <c r="R8" s="44"/>
      <c r="S8" s="75">
        <v>45372</v>
      </c>
      <c r="T8" s="58">
        <f>(S8-S7)*$K$4*$U$4/360</f>
        <v>9.73</v>
      </c>
      <c r="U8" s="58">
        <f>T8-Q8</f>
        <v>0</v>
      </c>
      <c r="V8" s="44"/>
      <c r="W8" s="44"/>
      <c r="X8" s="44"/>
      <c r="Y8" s="44"/>
      <c r="Z8" s="44"/>
      <c r="AA8" s="44"/>
      <c r="AB8" s="44"/>
    </row>
    <row r="9" spans="1:30" s="35" customFormat="1" hidden="1">
      <c r="A9" s="44"/>
      <c r="B9" s="44"/>
      <c r="C9" s="44"/>
      <c r="D9" s="44"/>
      <c r="E9" s="44"/>
      <c r="F9" s="44"/>
      <c r="G9" s="44"/>
      <c r="H9" s="44"/>
      <c r="I9" s="44"/>
      <c r="J9" s="44"/>
      <c r="K9" s="44"/>
      <c r="L9" s="44"/>
      <c r="M9" s="51"/>
      <c r="N9" s="52"/>
      <c r="O9" s="52"/>
      <c r="P9" s="75"/>
      <c r="Q9" s="58"/>
      <c r="R9" s="44"/>
      <c r="S9" s="53"/>
      <c r="T9" s="58"/>
      <c r="U9" s="58"/>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75"/>
      <c r="Q10" s="58"/>
      <c r="R10" s="44"/>
      <c r="S10" s="53"/>
      <c r="T10" s="58"/>
      <c r="U10" s="58"/>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44"/>
      <c r="S11" s="53"/>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0">B26</f>
        <v>0</v>
      </c>
      <c r="C48" s="43">
        <f t="shared" si="0"/>
        <v>0</v>
      </c>
      <c r="D48" s="43">
        <f t="shared" si="0"/>
        <v>0</v>
      </c>
      <c r="E48" s="43">
        <f t="shared" si="0"/>
        <v>0</v>
      </c>
      <c r="F48" s="43">
        <f t="shared" si="0"/>
        <v>0</v>
      </c>
      <c r="G48" s="43">
        <f t="shared" si="0"/>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1">B48</f>
        <v>0</v>
      </c>
      <c r="C70" s="43">
        <f t="shared" si="1"/>
        <v>0</v>
      </c>
      <c r="D70" s="43">
        <f t="shared" si="1"/>
        <v>0</v>
      </c>
      <c r="E70" s="43">
        <f t="shared" si="1"/>
        <v>0</v>
      </c>
      <c r="F70" s="43">
        <f t="shared" si="1"/>
        <v>0</v>
      </c>
      <c r="G70" s="43">
        <f t="shared" si="1"/>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2">B70</f>
        <v>0</v>
      </c>
      <c r="C92" s="43">
        <f t="shared" si="2"/>
        <v>0</v>
      </c>
      <c r="D92" s="43">
        <f t="shared" si="2"/>
        <v>0</v>
      </c>
      <c r="E92" s="43">
        <f t="shared" si="2"/>
        <v>0</v>
      </c>
      <c r="F92" s="43">
        <f t="shared" si="2"/>
        <v>0</v>
      </c>
      <c r="G92" s="43">
        <f t="shared" si="2"/>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10.19</v>
      </c>
      <c r="S114" s="43"/>
      <c r="T114" s="43"/>
      <c r="U114" s="43"/>
      <c r="V114" s="43"/>
      <c r="W114" s="43"/>
      <c r="X114" s="43"/>
      <c r="Y114" s="43">
        <f>Y92+Y70+Y48+Y26++Y4</f>
        <v>10.19</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D116"/>
  <sheetViews>
    <sheetView topLeftCell="K1" zoomScale="80" zoomScaleNormal="80" workbookViewId="0">
      <pane ySplit="3" topLeftCell="A4" activePane="bottomLeft" state="frozen"/>
      <selection pane="bottomLeft" activeCell="V28" sqref="V28"/>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众杰信息产业集团有限公司审计明细表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70">
      <c r="A4" s="43">
        <v>1</v>
      </c>
      <c r="B4" s="43" t="s">
        <v>738</v>
      </c>
      <c r="C4" s="43" t="s">
        <v>574</v>
      </c>
      <c r="D4" s="152" t="s">
        <v>990</v>
      </c>
      <c r="E4" s="43" t="s">
        <v>34</v>
      </c>
      <c r="F4" s="43" t="s">
        <v>991</v>
      </c>
      <c r="G4" s="43" t="s">
        <v>992</v>
      </c>
      <c r="H4" s="43" t="s">
        <v>993</v>
      </c>
      <c r="I4" s="43" t="s">
        <v>70</v>
      </c>
      <c r="J4" s="43" t="s">
        <v>58</v>
      </c>
      <c r="K4" s="43">
        <v>500</v>
      </c>
      <c r="L4" s="43" t="s">
        <v>994</v>
      </c>
      <c r="M4" s="49" t="s">
        <v>995</v>
      </c>
      <c r="N4" s="50">
        <v>45097</v>
      </c>
      <c r="O4" s="50">
        <v>45291</v>
      </c>
      <c r="P4" s="43">
        <f>P11-N4</f>
        <v>215</v>
      </c>
      <c r="Q4" s="109">
        <f>SUM(Q5:Q25)</f>
        <v>10.89</v>
      </c>
      <c r="R4" s="84">
        <v>4.07</v>
      </c>
      <c r="S4" s="43"/>
      <c r="T4" s="55">
        <f>SUM(T5:T25)</f>
        <v>10.89</v>
      </c>
      <c r="U4" s="56">
        <v>3.6499999999999998E-2</v>
      </c>
      <c r="V4" s="50"/>
      <c r="W4" s="43" t="s">
        <v>42</v>
      </c>
      <c r="X4" s="57">
        <v>1.4999999999999999E-2</v>
      </c>
      <c r="Y4" s="43">
        <f>ROUNDDOWN(IF((O4-N4+1)*K4*X4/365&gt;R4,R4,(O4-N4+1)*K4*X4/365),2)</f>
        <v>4</v>
      </c>
      <c r="Z4" s="55">
        <f>R4-Y4</f>
        <v>7.0000000000000007E-2</v>
      </c>
      <c r="AA4" s="55" t="s">
        <v>996</v>
      </c>
      <c r="AB4" s="43" t="s">
        <v>61</v>
      </c>
      <c r="AD4" s="61">
        <f>(O4-N4+1)*K4*X4/365</f>
        <v>4.0068000000000001</v>
      </c>
    </row>
    <row r="5" spans="1:30" s="35" customFormat="1">
      <c r="A5" s="44"/>
      <c r="B5" s="44"/>
      <c r="C5" s="44"/>
      <c r="D5" s="44"/>
      <c r="E5" s="44"/>
      <c r="F5" s="44"/>
      <c r="G5" s="44"/>
      <c r="H5" s="44"/>
      <c r="I5" s="44"/>
      <c r="J5" s="44"/>
      <c r="K5" s="44"/>
      <c r="L5" s="44"/>
      <c r="M5" s="51"/>
      <c r="N5" s="52"/>
      <c r="O5" s="50">
        <v>45442</v>
      </c>
      <c r="P5" s="75">
        <v>45128</v>
      </c>
      <c r="Q5" s="58">
        <v>1.57</v>
      </c>
      <c r="R5" s="44"/>
      <c r="S5" s="75">
        <v>45128</v>
      </c>
      <c r="T5" s="58">
        <f>(S5-N4)/360*$U$4*$K$4</f>
        <v>1.57</v>
      </c>
      <c r="U5" s="58">
        <f t="shared" ref="U5:U11" si="0">T5-Q5</f>
        <v>0</v>
      </c>
      <c r="V5" s="52"/>
      <c r="W5" s="44"/>
      <c r="X5" s="44"/>
      <c r="Y5" s="44">
        <f>ROUNDDOWN((V5-N4)*K4*X4/365,2)</f>
        <v>-926.65</v>
      </c>
      <c r="Z5" s="44"/>
      <c r="AA5" s="44"/>
      <c r="AB5" s="44"/>
    </row>
    <row r="6" spans="1:30" s="35" customFormat="1">
      <c r="A6" s="44"/>
      <c r="B6" s="44"/>
      <c r="C6" s="44"/>
      <c r="D6" s="44"/>
      <c r="E6" s="44"/>
      <c r="F6" s="44"/>
      <c r="G6" s="44"/>
      <c r="H6" s="44"/>
      <c r="I6" s="44"/>
      <c r="J6" s="44"/>
      <c r="K6" s="44"/>
      <c r="L6" s="44"/>
      <c r="M6" s="51"/>
      <c r="N6" s="52"/>
      <c r="O6" s="52"/>
      <c r="P6" s="75">
        <v>45159</v>
      </c>
      <c r="Q6" s="58">
        <v>1.57</v>
      </c>
      <c r="R6" s="44"/>
      <c r="S6" s="75">
        <v>45159</v>
      </c>
      <c r="T6" s="58">
        <f t="shared" ref="T6:T11" si="1">(S6-S5)*$K$4*$U$4/360</f>
        <v>1.57</v>
      </c>
      <c r="U6" s="102">
        <f t="shared" si="0"/>
        <v>0</v>
      </c>
      <c r="V6" s="44"/>
      <c r="W6" s="44"/>
      <c r="X6" s="44"/>
      <c r="Y6" s="44"/>
      <c r="Z6" s="44"/>
      <c r="AA6" s="44"/>
      <c r="AB6" s="44"/>
    </row>
    <row r="7" spans="1:30" s="35" customFormat="1">
      <c r="A7" s="44"/>
      <c r="B7" s="44"/>
      <c r="C7" s="44"/>
      <c r="D7" s="44"/>
      <c r="E7" s="44"/>
      <c r="F7" s="44"/>
      <c r="G7" s="44"/>
      <c r="H7" s="44"/>
      <c r="I7" s="44"/>
      <c r="J7" s="44"/>
      <c r="K7" s="44"/>
      <c r="L7" s="44"/>
      <c r="M7" s="51"/>
      <c r="N7" s="52"/>
      <c r="O7" s="52"/>
      <c r="P7" s="75">
        <v>45190</v>
      </c>
      <c r="Q7" s="58">
        <v>1.57</v>
      </c>
      <c r="R7" s="44"/>
      <c r="S7" s="75">
        <v>45190</v>
      </c>
      <c r="T7" s="58">
        <f t="shared" si="1"/>
        <v>1.57</v>
      </c>
      <c r="U7" s="102">
        <f t="shared" si="0"/>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45220</v>
      </c>
      <c r="Q8" s="58">
        <v>1.52</v>
      </c>
      <c r="R8" s="44"/>
      <c r="S8" s="75">
        <v>45220</v>
      </c>
      <c r="T8" s="58">
        <f t="shared" si="1"/>
        <v>1.52</v>
      </c>
      <c r="U8" s="102">
        <f t="shared" si="0"/>
        <v>0</v>
      </c>
      <c r="V8" s="44"/>
      <c r="W8" s="44"/>
      <c r="X8" s="44"/>
      <c r="Y8" s="44"/>
      <c r="Z8" s="44"/>
      <c r="AA8" s="44"/>
      <c r="AB8" s="44"/>
    </row>
    <row r="9" spans="1:30" s="35" customFormat="1">
      <c r="A9" s="44"/>
      <c r="B9" s="44"/>
      <c r="C9" s="44"/>
      <c r="D9" s="44"/>
      <c r="E9" s="44"/>
      <c r="F9" s="44"/>
      <c r="G9" s="44"/>
      <c r="H9" s="44"/>
      <c r="I9" s="44"/>
      <c r="J9" s="44"/>
      <c r="K9" s="44"/>
      <c r="L9" s="44"/>
      <c r="M9" s="51"/>
      <c r="N9" s="52"/>
      <c r="O9" s="52"/>
      <c r="P9" s="75">
        <v>45251</v>
      </c>
      <c r="Q9" s="58">
        <v>1.57</v>
      </c>
      <c r="R9" s="44"/>
      <c r="S9" s="75">
        <v>45251</v>
      </c>
      <c r="T9" s="58">
        <f t="shared" si="1"/>
        <v>1.57</v>
      </c>
      <c r="U9" s="102">
        <f t="shared" si="0"/>
        <v>0</v>
      </c>
      <c r="V9" s="44"/>
      <c r="W9" s="44"/>
      <c r="X9" s="44"/>
      <c r="Y9" s="44"/>
      <c r="Z9" s="44"/>
      <c r="AA9" s="44"/>
      <c r="AB9" s="44"/>
    </row>
    <row r="10" spans="1:30" s="35" customFormat="1">
      <c r="A10" s="44"/>
      <c r="B10" s="44"/>
      <c r="C10" s="44"/>
      <c r="D10" s="44"/>
      <c r="E10" s="44"/>
      <c r="F10" s="44"/>
      <c r="G10" s="44"/>
      <c r="H10" s="44"/>
      <c r="I10" s="44"/>
      <c r="J10" s="44"/>
      <c r="K10" s="44"/>
      <c r="L10" s="44"/>
      <c r="M10" s="51"/>
      <c r="N10" s="52"/>
      <c r="O10" s="52"/>
      <c r="P10" s="75">
        <v>45281</v>
      </c>
      <c r="Q10" s="58">
        <v>1.52</v>
      </c>
      <c r="R10" s="44"/>
      <c r="S10" s="75">
        <v>45281</v>
      </c>
      <c r="T10" s="58">
        <f t="shared" si="1"/>
        <v>1.52</v>
      </c>
      <c r="U10" s="102">
        <f t="shared" si="0"/>
        <v>0</v>
      </c>
      <c r="V10" s="44"/>
      <c r="W10" s="44"/>
      <c r="X10" s="44"/>
      <c r="Y10" s="44"/>
      <c r="Z10" s="44"/>
      <c r="AA10" s="44"/>
      <c r="AB10" s="44"/>
    </row>
    <row r="11" spans="1:30" s="35" customFormat="1">
      <c r="A11" s="44"/>
      <c r="B11" s="44"/>
      <c r="C11" s="44"/>
      <c r="D11" s="44"/>
      <c r="E11" s="44"/>
      <c r="F11" s="44"/>
      <c r="G11" s="44"/>
      <c r="H11" s="44"/>
      <c r="I11" s="44"/>
      <c r="J11" s="44"/>
      <c r="K11" s="44"/>
      <c r="L11" s="44"/>
      <c r="M11" s="51"/>
      <c r="N11" s="52"/>
      <c r="O11" s="52"/>
      <c r="P11" s="75">
        <v>45312</v>
      </c>
      <c r="Q11" s="58">
        <v>1.57</v>
      </c>
      <c r="R11" s="44"/>
      <c r="S11" s="75">
        <v>45312</v>
      </c>
      <c r="T11" s="58">
        <f t="shared" si="1"/>
        <v>1.57</v>
      </c>
      <c r="U11" s="102">
        <f t="shared" si="0"/>
        <v>0</v>
      </c>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44"/>
      <c r="S16" s="53"/>
      <c r="T16" s="58"/>
      <c r="U16" s="58"/>
      <c r="V16" s="44"/>
      <c r="W16" s="44"/>
      <c r="X16" s="44"/>
      <c r="Y16" s="44"/>
      <c r="Z16" s="44"/>
      <c r="AA16" s="44"/>
      <c r="AB16" s="44"/>
    </row>
    <row r="17" spans="1:30"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30"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30"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30"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30"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30"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30"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30"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30"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30" s="34" customFormat="1" ht="84" customHeight="1">
      <c r="A26" s="43">
        <v>2</v>
      </c>
      <c r="B26" s="43" t="s">
        <v>738</v>
      </c>
      <c r="C26" s="43" t="s">
        <v>574</v>
      </c>
      <c r="D26" s="152" t="s">
        <v>990</v>
      </c>
      <c r="E26" s="43" t="s">
        <v>34</v>
      </c>
      <c r="F26" s="43" t="s">
        <v>991</v>
      </c>
      <c r="G26" s="43" t="s">
        <v>992</v>
      </c>
      <c r="H26" s="43" t="s">
        <v>993</v>
      </c>
      <c r="I26" s="43" t="s">
        <v>70</v>
      </c>
      <c r="J26" s="43" t="s">
        <v>58</v>
      </c>
      <c r="K26" s="43">
        <v>500</v>
      </c>
      <c r="L26" s="43" t="s">
        <v>997</v>
      </c>
      <c r="M26" s="49" t="s">
        <v>998</v>
      </c>
      <c r="N26" s="50">
        <v>45079</v>
      </c>
      <c r="O26" s="50">
        <v>45291</v>
      </c>
      <c r="P26" s="43">
        <f>P33-N26</f>
        <v>233</v>
      </c>
      <c r="Q26" s="109">
        <f>SUM(Q27:Q33)</f>
        <v>11.8</v>
      </c>
      <c r="R26" s="84">
        <v>4.38</v>
      </c>
      <c r="S26" s="43"/>
      <c r="T26" s="55">
        <f>SUM(T27:T33)</f>
        <v>11.8</v>
      </c>
      <c r="U26" s="56">
        <v>3.6499999999999998E-2</v>
      </c>
      <c r="V26" s="50"/>
      <c r="W26" s="43" t="s">
        <v>42</v>
      </c>
      <c r="X26" s="57">
        <v>1.4999999999999999E-2</v>
      </c>
      <c r="Y26" s="43">
        <f>ROUNDDOWN(IF((O26-N26+1)*K26*X26/365&gt;R26,R26,(O26-N26+1)*K26*X26/365),2)</f>
        <v>4.37</v>
      </c>
      <c r="Z26" s="55">
        <f>R26-Y26</f>
        <v>0.01</v>
      </c>
      <c r="AA26" s="55" t="s">
        <v>996</v>
      </c>
      <c r="AB26" s="43" t="s">
        <v>61</v>
      </c>
      <c r="AD26" s="61">
        <f>(O26-N26+1)*K26*X26/365</f>
        <v>4.3766999999999996</v>
      </c>
    </row>
    <row r="27" spans="1:30" s="35" customFormat="1">
      <c r="A27" s="44"/>
      <c r="B27" s="44"/>
      <c r="C27" s="44"/>
      <c r="D27" s="44"/>
      <c r="E27" s="44"/>
      <c r="F27" s="44"/>
      <c r="G27" s="44"/>
      <c r="H27" s="44"/>
      <c r="I27" s="44"/>
      <c r="J27" s="44"/>
      <c r="K27" s="44"/>
      <c r="L27" s="44"/>
      <c r="M27" s="51"/>
      <c r="N27" s="52"/>
      <c r="O27" s="50">
        <v>45458</v>
      </c>
      <c r="P27" s="75">
        <v>45128</v>
      </c>
      <c r="Q27" s="58">
        <v>2.48</v>
      </c>
      <c r="R27" s="44"/>
      <c r="S27" s="75">
        <v>45128</v>
      </c>
      <c r="T27" s="58">
        <f>(S27-N26)/360*$U$26*$K$26</f>
        <v>2.48</v>
      </c>
      <c r="U27" s="58">
        <f t="shared" ref="U27:U33" si="2">T27-Q27</f>
        <v>0</v>
      </c>
      <c r="V27" s="52"/>
      <c r="W27" s="44"/>
      <c r="X27" s="44"/>
      <c r="Y27" s="62">
        <f>ROUNDUP((V27-N26)*K26*X26/365,2)</f>
        <v>-926.29</v>
      </c>
      <c r="Z27" s="44"/>
      <c r="AA27" s="44"/>
      <c r="AB27" s="44"/>
    </row>
    <row r="28" spans="1:30" s="35" customFormat="1">
      <c r="A28" s="44"/>
      <c r="B28" s="44"/>
      <c r="C28" s="44"/>
      <c r="D28" s="44"/>
      <c r="E28" s="44"/>
      <c r="F28" s="44"/>
      <c r="G28" s="44"/>
      <c r="H28" s="44"/>
      <c r="I28" s="44"/>
      <c r="J28" s="44"/>
      <c r="K28" s="44"/>
      <c r="L28" s="44"/>
      <c r="M28" s="51"/>
      <c r="N28" s="52"/>
      <c r="O28" s="52"/>
      <c r="P28" s="75">
        <v>45159</v>
      </c>
      <c r="Q28" s="58">
        <v>1.57</v>
      </c>
      <c r="R28" s="44"/>
      <c r="S28" s="75">
        <v>45159</v>
      </c>
      <c r="T28" s="58">
        <f t="shared" ref="T28:T33" si="3">(S28-S27)*$U$26*$K$26/360</f>
        <v>1.57</v>
      </c>
      <c r="U28" s="58">
        <f t="shared" si="2"/>
        <v>0</v>
      </c>
      <c r="V28" s="44"/>
      <c r="W28" s="44"/>
      <c r="X28" s="44"/>
      <c r="Y28" s="62"/>
      <c r="Z28" s="44"/>
      <c r="AA28" s="44"/>
      <c r="AB28" s="44"/>
    </row>
    <row r="29" spans="1:30" s="35" customFormat="1">
      <c r="A29" s="44"/>
      <c r="B29" s="44"/>
      <c r="C29" s="44"/>
      <c r="D29" s="44"/>
      <c r="E29" s="44"/>
      <c r="F29" s="44"/>
      <c r="G29" s="44"/>
      <c r="H29" s="44"/>
      <c r="I29" s="44"/>
      <c r="J29" s="44"/>
      <c r="K29" s="44"/>
      <c r="L29" s="44"/>
      <c r="M29" s="51"/>
      <c r="N29" s="52"/>
      <c r="O29" s="52"/>
      <c r="P29" s="75">
        <v>45190</v>
      </c>
      <c r="Q29" s="58">
        <v>1.57</v>
      </c>
      <c r="R29" s="44"/>
      <c r="S29" s="75">
        <v>45190</v>
      </c>
      <c r="T29" s="58">
        <f t="shared" si="3"/>
        <v>1.57</v>
      </c>
      <c r="U29" s="58">
        <f t="shared" si="2"/>
        <v>0</v>
      </c>
      <c r="V29" s="44"/>
      <c r="W29" s="44"/>
      <c r="X29" s="44"/>
      <c r="Y29" s="44"/>
      <c r="Z29" s="44"/>
      <c r="AA29" s="44"/>
      <c r="AB29" s="44"/>
    </row>
    <row r="30" spans="1:30" s="35" customFormat="1">
      <c r="A30" s="44"/>
      <c r="B30" s="44"/>
      <c r="C30" s="44"/>
      <c r="D30" s="44"/>
      <c r="E30" s="44"/>
      <c r="F30" s="44"/>
      <c r="G30" s="44"/>
      <c r="H30" s="44"/>
      <c r="I30" s="44"/>
      <c r="J30" s="44"/>
      <c r="K30" s="44"/>
      <c r="L30" s="44"/>
      <c r="M30" s="51"/>
      <c r="N30" s="52"/>
      <c r="O30" s="52"/>
      <c r="P30" s="75">
        <v>45220</v>
      </c>
      <c r="Q30" s="58">
        <v>1.52</v>
      </c>
      <c r="R30" s="44"/>
      <c r="S30" s="75">
        <v>45220</v>
      </c>
      <c r="T30" s="58">
        <f t="shared" si="3"/>
        <v>1.52</v>
      </c>
      <c r="U30" s="58">
        <f t="shared" si="2"/>
        <v>0</v>
      </c>
      <c r="V30" s="44"/>
      <c r="W30" s="44"/>
      <c r="X30" s="44"/>
      <c r="Y30" s="44"/>
      <c r="Z30" s="44"/>
      <c r="AA30" s="44"/>
      <c r="AB30" s="44"/>
    </row>
    <row r="31" spans="1:30" s="35" customFormat="1">
      <c r="A31" s="44"/>
      <c r="B31" s="44"/>
      <c r="C31" s="44"/>
      <c r="D31" s="44"/>
      <c r="E31" s="44"/>
      <c r="F31" s="44"/>
      <c r="G31" s="44"/>
      <c r="H31" s="44"/>
      <c r="I31" s="44"/>
      <c r="J31" s="44"/>
      <c r="K31" s="44"/>
      <c r="L31" s="44"/>
      <c r="M31" s="51"/>
      <c r="N31" s="52"/>
      <c r="O31" s="52"/>
      <c r="P31" s="75">
        <v>45251</v>
      </c>
      <c r="Q31" s="58">
        <v>1.57</v>
      </c>
      <c r="R31" s="44"/>
      <c r="S31" s="75">
        <v>45251</v>
      </c>
      <c r="T31" s="58">
        <f t="shared" si="3"/>
        <v>1.57</v>
      </c>
      <c r="U31" s="58">
        <f t="shared" si="2"/>
        <v>0</v>
      </c>
      <c r="V31" s="44"/>
      <c r="W31" s="44"/>
      <c r="X31" s="44"/>
      <c r="Y31" s="44"/>
      <c r="Z31" s="44"/>
      <c r="AA31" s="44"/>
      <c r="AB31" s="44"/>
    </row>
    <row r="32" spans="1:30" s="35" customFormat="1">
      <c r="A32" s="44"/>
      <c r="B32" s="44"/>
      <c r="C32" s="44"/>
      <c r="D32" s="44"/>
      <c r="E32" s="44"/>
      <c r="F32" s="44"/>
      <c r="G32" s="44"/>
      <c r="H32" s="44"/>
      <c r="I32" s="44"/>
      <c r="J32" s="44"/>
      <c r="K32" s="44"/>
      <c r="L32" s="44"/>
      <c r="M32" s="51"/>
      <c r="N32" s="52"/>
      <c r="O32" s="52"/>
      <c r="P32" s="75">
        <v>45281</v>
      </c>
      <c r="Q32" s="58">
        <v>1.52</v>
      </c>
      <c r="R32" s="44"/>
      <c r="S32" s="75">
        <v>45281</v>
      </c>
      <c r="T32" s="58">
        <f t="shared" si="3"/>
        <v>1.52</v>
      </c>
      <c r="U32" s="58">
        <f t="shared" si="2"/>
        <v>0</v>
      </c>
      <c r="V32" s="44"/>
      <c r="W32" s="44"/>
      <c r="X32" s="44"/>
      <c r="Y32" s="44"/>
      <c r="Z32" s="44"/>
      <c r="AA32" s="44"/>
      <c r="AB32" s="44"/>
    </row>
    <row r="33" spans="1:28" s="35" customFormat="1">
      <c r="A33" s="44"/>
      <c r="B33" s="44"/>
      <c r="C33" s="44"/>
      <c r="D33" s="44"/>
      <c r="E33" s="44"/>
      <c r="F33" s="44"/>
      <c r="G33" s="44"/>
      <c r="H33" s="44"/>
      <c r="I33" s="44"/>
      <c r="J33" s="44"/>
      <c r="K33" s="44"/>
      <c r="L33" s="44"/>
      <c r="M33" s="51"/>
      <c r="N33" s="52"/>
      <c r="O33" s="52"/>
      <c r="P33" s="75">
        <v>45312</v>
      </c>
      <c r="Q33" s="58">
        <v>1.57</v>
      </c>
      <c r="R33" s="44"/>
      <c r="S33" s="75">
        <v>45312</v>
      </c>
      <c r="T33" s="58">
        <f t="shared" si="3"/>
        <v>1.57</v>
      </c>
      <c r="U33" s="58">
        <f t="shared" si="2"/>
        <v>0</v>
      </c>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idden="1">
      <c r="A48" s="43"/>
      <c r="B48" s="43"/>
      <c r="C48" s="43"/>
      <c r="D48" s="43"/>
      <c r="E48" s="43"/>
      <c r="F48" s="43"/>
      <c r="G48" s="43"/>
      <c r="H48" s="43"/>
      <c r="I48" s="43"/>
      <c r="J48" s="43"/>
      <c r="K48" s="43"/>
      <c r="L48" s="43"/>
      <c r="M48" s="49"/>
      <c r="N48" s="50"/>
      <c r="O48" s="50"/>
      <c r="P48" s="76"/>
      <c r="Q48" s="55">
        <f>SUM(Q49:Q69)</f>
        <v>0</v>
      </c>
      <c r="R48" s="43"/>
      <c r="S48" s="43"/>
      <c r="T48" s="43"/>
      <c r="U48" s="56"/>
      <c r="V48" s="50"/>
      <c r="W48" s="43"/>
      <c r="X48" s="57"/>
      <c r="Y48" s="43"/>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c r="B70" s="43"/>
      <c r="C70" s="43"/>
      <c r="D70" s="43"/>
      <c r="E70" s="43"/>
      <c r="F70" s="43"/>
      <c r="G70" s="43"/>
      <c r="H70" s="43"/>
      <c r="I70" s="43"/>
      <c r="J70" s="43"/>
      <c r="K70" s="43"/>
      <c r="L70" s="43"/>
      <c r="M70" s="49"/>
      <c r="N70" s="50"/>
      <c r="O70" s="50"/>
      <c r="P70" s="76"/>
      <c r="Q70" s="55">
        <f>SUM(Q71:Q91)</f>
        <v>0</v>
      </c>
      <c r="R70" s="43"/>
      <c r="S70" s="43"/>
      <c r="T70" s="43"/>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c r="B92" s="43"/>
      <c r="C92" s="43"/>
      <c r="D92" s="43"/>
      <c r="E92" s="43"/>
      <c r="F92" s="43"/>
      <c r="G92" s="43"/>
      <c r="H92" s="43"/>
      <c r="I92" s="43"/>
      <c r="J92" s="43"/>
      <c r="K92" s="43"/>
      <c r="L92" s="43"/>
      <c r="M92" s="49"/>
      <c r="N92" s="50"/>
      <c r="O92" s="50"/>
      <c r="P92" s="76"/>
      <c r="Q92" s="55">
        <f>SUM(Q93:Q113)</f>
        <v>0</v>
      </c>
      <c r="R92" s="43"/>
      <c r="S92" s="43"/>
      <c r="T92" s="43"/>
      <c r="U92" s="43"/>
      <c r="V92" s="50"/>
      <c r="W92" s="43"/>
      <c r="X92" s="64"/>
      <c r="Y92" s="43"/>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8.4499999999999993</v>
      </c>
      <c r="S114" s="43"/>
      <c r="T114" s="43"/>
      <c r="U114" s="43"/>
      <c r="V114" s="43"/>
      <c r="W114" s="43"/>
      <c r="X114" s="43"/>
      <c r="Y114" s="43">
        <f>Y92+Y70+Y48+Y26++Y4</f>
        <v>8.3699999999999992</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D116"/>
  <sheetViews>
    <sheetView topLeftCell="S1" zoomScale="120" zoomScaleNormal="120" workbookViewId="0">
      <pane ySplit="3" topLeftCell="A4" activePane="bottomLeft" state="frozen"/>
      <selection pane="bottomLeft" activeCell="U4" sqref="U4:AB4"/>
    </sheetView>
  </sheetViews>
  <sheetFormatPr defaultColWidth="9" defaultRowHeight="14"/>
  <cols>
    <col min="1" max="6" width="9" style="36"/>
    <col min="7" max="7" width="9" style="36" customWidth="1"/>
    <col min="8"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四川商通实业有限公司审计明细表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71"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2"/>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70">
      <c r="A4" s="43">
        <v>1</v>
      </c>
      <c r="B4" s="43" t="s">
        <v>718</v>
      </c>
      <c r="C4" s="43" t="s">
        <v>999</v>
      </c>
      <c r="D4" s="43" t="s">
        <v>1000</v>
      </c>
      <c r="E4" s="43" t="s">
        <v>1001</v>
      </c>
      <c r="F4" s="43" t="s">
        <v>956</v>
      </c>
      <c r="G4" s="43" t="s">
        <v>1002</v>
      </c>
      <c r="H4" s="43" t="s">
        <v>71</v>
      </c>
      <c r="I4" s="43" t="s">
        <v>57</v>
      </c>
      <c r="J4" s="43" t="s">
        <v>58</v>
      </c>
      <c r="K4" s="43">
        <v>1000</v>
      </c>
      <c r="L4" s="43" t="s">
        <v>1003</v>
      </c>
      <c r="M4" s="49" t="s">
        <v>1004</v>
      </c>
      <c r="N4" s="50">
        <v>45057</v>
      </c>
      <c r="O4" s="50">
        <v>45291</v>
      </c>
      <c r="P4" s="43">
        <f>P8-N4</f>
        <v>315</v>
      </c>
      <c r="Q4" s="55">
        <f>SUM(Q5:Q25)</f>
        <v>36.75</v>
      </c>
      <c r="R4" s="55">
        <v>9.66</v>
      </c>
      <c r="S4" s="43"/>
      <c r="T4" s="55">
        <f>SUM(T5:T25)</f>
        <v>36.75</v>
      </c>
      <c r="U4" s="56">
        <v>4.2000000000000003E-2</v>
      </c>
      <c r="V4" s="50"/>
      <c r="W4" s="43" t="s">
        <v>42</v>
      </c>
      <c r="X4" s="57">
        <v>1.4999999999999999E-2</v>
      </c>
      <c r="Y4" s="43">
        <f>ROUNDDOWN(IF((O4-N4+1)*K4*X4/365&gt;R4,R4,(O4-N4+1)*K4*X4/365),2)</f>
        <v>9.65</v>
      </c>
      <c r="Z4" s="55">
        <f>R4-Y4</f>
        <v>0.01</v>
      </c>
      <c r="AA4" s="55" t="s">
        <v>43</v>
      </c>
      <c r="AB4" s="43" t="s">
        <v>61</v>
      </c>
      <c r="AD4" s="61">
        <f>(O4-N4+1)*K4*X4/365</f>
        <v>9.6575000000000006</v>
      </c>
    </row>
    <row r="5" spans="1:30" s="35" customFormat="1">
      <c r="A5" s="44"/>
      <c r="B5" s="44"/>
      <c r="C5" s="44"/>
      <c r="D5" s="44"/>
      <c r="E5" s="44"/>
      <c r="F5" s="44"/>
      <c r="G5" s="44"/>
      <c r="H5" s="44"/>
      <c r="I5" s="44"/>
      <c r="J5" s="44"/>
      <c r="K5" s="44"/>
      <c r="L5" s="44"/>
      <c r="M5" s="51"/>
      <c r="N5" s="52"/>
      <c r="O5" s="50">
        <v>45422</v>
      </c>
      <c r="P5" s="75">
        <v>45098</v>
      </c>
      <c r="Q5" s="58">
        <v>4.78</v>
      </c>
      <c r="R5" s="44"/>
      <c r="S5" s="75">
        <v>45098</v>
      </c>
      <c r="T5" s="58">
        <f>(S5-N4)/360*$U$4*$K$4</f>
        <v>4.78</v>
      </c>
      <c r="U5" s="58">
        <f>T5-Q5</f>
        <v>0</v>
      </c>
      <c r="V5" s="52"/>
      <c r="W5" s="44"/>
      <c r="X5" s="44"/>
      <c r="Y5" s="44">
        <f>ROUNDDOWN((V5-N4)*K4*X4/365,2)</f>
        <v>-1851.65</v>
      </c>
      <c r="Z5" s="44"/>
      <c r="AA5" s="44"/>
      <c r="AB5" s="44"/>
    </row>
    <row r="6" spans="1:30" s="35" customFormat="1">
      <c r="A6" s="44"/>
      <c r="B6" s="44"/>
      <c r="C6" s="44"/>
      <c r="D6" s="44"/>
      <c r="E6" s="44"/>
      <c r="F6" s="44"/>
      <c r="G6" s="44"/>
      <c r="H6" s="44"/>
      <c r="I6" s="44"/>
      <c r="J6" s="44"/>
      <c r="K6" s="44"/>
      <c r="L6" s="44"/>
      <c r="M6" s="51"/>
      <c r="N6" s="52"/>
      <c r="O6" s="52"/>
      <c r="P6" s="75">
        <v>45190</v>
      </c>
      <c r="Q6" s="58">
        <v>10.73</v>
      </c>
      <c r="R6" s="44"/>
      <c r="S6" s="75">
        <v>45190</v>
      </c>
      <c r="T6" s="58">
        <f>(S6-S5)*$K$4*$U$4/360</f>
        <v>10.73</v>
      </c>
      <c r="U6" s="58">
        <f>T6-Q6</f>
        <v>0</v>
      </c>
      <c r="V6" s="44"/>
      <c r="W6" s="44"/>
      <c r="X6" s="44"/>
      <c r="Y6" s="44"/>
      <c r="Z6" s="44"/>
      <c r="AA6" s="44"/>
      <c r="AB6" s="44"/>
    </row>
    <row r="7" spans="1:30" s="35" customFormat="1">
      <c r="A7" s="44"/>
      <c r="B7" s="44"/>
      <c r="C7" s="44"/>
      <c r="D7" s="44"/>
      <c r="E7" s="44"/>
      <c r="F7" s="44"/>
      <c r="G7" s="44"/>
      <c r="H7" s="44"/>
      <c r="I7" s="44"/>
      <c r="J7" s="44"/>
      <c r="K7" s="44"/>
      <c r="L7" s="44"/>
      <c r="M7" s="51"/>
      <c r="N7" s="52"/>
      <c r="O7" s="52"/>
      <c r="P7" s="75">
        <v>45281</v>
      </c>
      <c r="Q7" s="58">
        <v>10.62</v>
      </c>
      <c r="R7" s="44"/>
      <c r="S7" s="75">
        <v>45281</v>
      </c>
      <c r="T7" s="58">
        <f>(S7-S6)*$K$4*$U$4/360</f>
        <v>10.62</v>
      </c>
      <c r="U7" s="58">
        <f>T7-Q7</f>
        <v>0</v>
      </c>
      <c r="V7" s="44"/>
      <c r="W7" s="44"/>
      <c r="X7" s="44"/>
      <c r="Y7" s="44"/>
      <c r="Z7" s="44"/>
      <c r="AA7" s="44"/>
      <c r="AB7" s="44"/>
    </row>
    <row r="8" spans="1:30" s="35" customFormat="1">
      <c r="A8" s="44"/>
      <c r="B8" s="44"/>
      <c r="C8" s="44"/>
      <c r="D8" s="44"/>
      <c r="E8" s="44"/>
      <c r="F8" s="44"/>
      <c r="G8" s="44"/>
      <c r="H8" s="44"/>
      <c r="I8" s="44"/>
      <c r="J8" s="44"/>
      <c r="K8" s="44"/>
      <c r="L8" s="44"/>
      <c r="M8" s="51"/>
      <c r="N8" s="52"/>
      <c r="O8" s="52"/>
      <c r="P8" s="75">
        <v>45372</v>
      </c>
      <c r="Q8" s="58">
        <v>10.62</v>
      </c>
      <c r="R8" s="44"/>
      <c r="S8" s="75">
        <v>45372</v>
      </c>
      <c r="T8" s="58">
        <f>(S8-S7)*$K$4*$U$4/360</f>
        <v>10.62</v>
      </c>
      <c r="U8" s="58">
        <f>T8-Q8</f>
        <v>0</v>
      </c>
      <c r="V8" s="44"/>
      <c r="W8" s="44"/>
      <c r="X8" s="44"/>
      <c r="Y8" s="44"/>
      <c r="Z8" s="44"/>
      <c r="AA8" s="44"/>
      <c r="AB8" s="44"/>
    </row>
    <row r="9" spans="1:30" s="35" customFormat="1" hidden="1">
      <c r="A9" s="44"/>
      <c r="B9" s="44"/>
      <c r="C9" s="44"/>
      <c r="D9" s="44"/>
      <c r="E9" s="44"/>
      <c r="F9" s="44"/>
      <c r="G9" s="44"/>
      <c r="H9" s="44"/>
      <c r="I9" s="44"/>
      <c r="J9" s="44"/>
      <c r="K9" s="44"/>
      <c r="L9" s="44"/>
      <c r="M9" s="51"/>
      <c r="N9" s="52"/>
      <c r="O9" s="52"/>
      <c r="P9" s="75"/>
      <c r="Q9" s="58"/>
      <c r="R9" s="44"/>
      <c r="S9" s="53"/>
      <c r="T9" s="58"/>
      <c r="U9" s="58"/>
      <c r="V9" s="44"/>
      <c r="W9" s="44"/>
      <c r="X9" s="44"/>
      <c r="Y9" s="44"/>
      <c r="Z9" s="44"/>
      <c r="AA9" s="44"/>
      <c r="AB9" s="44"/>
    </row>
    <row r="10" spans="1:30" s="35" customFormat="1" hidden="1">
      <c r="A10" s="44"/>
      <c r="B10" s="44"/>
      <c r="C10" s="44"/>
      <c r="D10" s="44"/>
      <c r="E10" s="44"/>
      <c r="F10" s="44"/>
      <c r="G10" s="44"/>
      <c r="H10" s="44"/>
      <c r="I10" s="44"/>
      <c r="J10" s="44"/>
      <c r="K10" s="44"/>
      <c r="L10" s="44"/>
      <c r="M10" s="51"/>
      <c r="N10" s="52"/>
      <c r="O10" s="52"/>
      <c r="P10" s="75"/>
      <c r="Q10" s="58"/>
      <c r="R10" s="44"/>
      <c r="S10" s="53"/>
      <c r="T10" s="58"/>
      <c r="U10" s="58"/>
      <c r="V10" s="44"/>
      <c r="W10" s="44"/>
      <c r="X10" s="44"/>
      <c r="Y10" s="44"/>
      <c r="Z10" s="44"/>
      <c r="AA10" s="44"/>
      <c r="AB10" s="44"/>
    </row>
    <row r="11" spans="1:30" s="35" customFormat="1" hidden="1">
      <c r="A11" s="44"/>
      <c r="B11" s="44"/>
      <c r="C11" s="44"/>
      <c r="D11" s="44"/>
      <c r="E11" s="44"/>
      <c r="F11" s="44"/>
      <c r="G11" s="44"/>
      <c r="H11" s="44"/>
      <c r="I11" s="44"/>
      <c r="J11" s="44"/>
      <c r="K11" s="44"/>
      <c r="L11" s="44"/>
      <c r="M11" s="51"/>
      <c r="N11" s="52"/>
      <c r="O11" s="52"/>
      <c r="P11" s="75"/>
      <c r="Q11" s="58"/>
      <c r="R11" s="44"/>
      <c r="S11" s="53"/>
      <c r="T11" s="58"/>
      <c r="U11" s="58"/>
      <c r="V11" s="44"/>
      <c r="W11" s="44"/>
      <c r="X11" s="44"/>
      <c r="Y11" s="44"/>
      <c r="Z11" s="44"/>
      <c r="AA11" s="44"/>
      <c r="AB11" s="44"/>
    </row>
    <row r="12" spans="1:30" s="35" customFormat="1" hidden="1">
      <c r="A12" s="44"/>
      <c r="B12" s="44"/>
      <c r="C12" s="44"/>
      <c r="D12" s="44"/>
      <c r="E12" s="44"/>
      <c r="F12" s="44"/>
      <c r="G12" s="44"/>
      <c r="H12" s="44"/>
      <c r="I12" s="44"/>
      <c r="J12" s="44"/>
      <c r="K12" s="44"/>
      <c r="L12" s="44"/>
      <c r="M12" s="51"/>
      <c r="N12" s="52"/>
      <c r="O12" s="52"/>
      <c r="P12" s="75"/>
      <c r="Q12" s="58"/>
      <c r="R12" s="44"/>
      <c r="S12" s="53"/>
      <c r="T12" s="58"/>
      <c r="U12" s="58"/>
      <c r="V12" s="44"/>
      <c r="W12" s="44"/>
      <c r="X12" s="44"/>
      <c r="Y12" s="44"/>
      <c r="Z12" s="44"/>
      <c r="AA12" s="44"/>
      <c r="AB12" s="44"/>
    </row>
    <row r="13" spans="1:30" s="35" customFormat="1" hidden="1">
      <c r="A13" s="44"/>
      <c r="B13" s="44"/>
      <c r="C13" s="44"/>
      <c r="D13" s="44"/>
      <c r="E13" s="44"/>
      <c r="F13" s="44"/>
      <c r="G13" s="44"/>
      <c r="H13" s="44"/>
      <c r="I13" s="44"/>
      <c r="J13" s="44"/>
      <c r="K13" s="44"/>
      <c r="L13" s="44"/>
      <c r="M13" s="51"/>
      <c r="N13" s="52"/>
      <c r="O13" s="52"/>
      <c r="P13" s="75"/>
      <c r="Q13" s="58"/>
      <c r="R13" s="44"/>
      <c r="S13" s="53"/>
      <c r="T13" s="58"/>
      <c r="U13" s="58"/>
      <c r="V13" s="44"/>
      <c r="W13" s="44"/>
      <c r="X13" s="44"/>
      <c r="Y13" s="44"/>
      <c r="Z13" s="44"/>
      <c r="AA13" s="44"/>
      <c r="AB13" s="44"/>
    </row>
    <row r="14" spans="1:30" s="35" customFormat="1" hidden="1">
      <c r="A14" s="44"/>
      <c r="B14" s="44"/>
      <c r="C14" s="44"/>
      <c r="D14" s="44"/>
      <c r="E14" s="44"/>
      <c r="F14" s="44"/>
      <c r="G14" s="44"/>
      <c r="H14" s="44"/>
      <c r="I14" s="44"/>
      <c r="J14" s="44"/>
      <c r="K14" s="44"/>
      <c r="L14" s="44"/>
      <c r="M14" s="51"/>
      <c r="N14" s="52"/>
      <c r="O14" s="52"/>
      <c r="P14" s="75"/>
      <c r="Q14" s="58"/>
      <c r="R14" s="44"/>
      <c r="S14" s="53"/>
      <c r="T14" s="58"/>
      <c r="U14" s="58"/>
      <c r="V14" s="44"/>
      <c r="W14" s="44"/>
      <c r="X14" s="44"/>
      <c r="Y14" s="44"/>
      <c r="Z14" s="44"/>
      <c r="AA14" s="44"/>
      <c r="AB14" s="44"/>
    </row>
    <row r="15" spans="1:30" s="35" customFormat="1" hidden="1">
      <c r="A15" s="44"/>
      <c r="B15" s="44"/>
      <c r="C15" s="44"/>
      <c r="D15" s="44"/>
      <c r="E15" s="44"/>
      <c r="F15" s="44"/>
      <c r="G15" s="44"/>
      <c r="H15" s="44"/>
      <c r="I15" s="44"/>
      <c r="J15" s="44"/>
      <c r="K15" s="44"/>
      <c r="L15" s="44"/>
      <c r="M15" s="51"/>
      <c r="N15" s="52"/>
      <c r="O15" s="52"/>
      <c r="P15" s="75"/>
      <c r="Q15" s="58"/>
      <c r="R15" s="44"/>
      <c r="S15" s="53"/>
      <c r="T15" s="58"/>
      <c r="U15" s="58"/>
      <c r="V15" s="44"/>
      <c r="W15" s="44"/>
      <c r="X15" s="44"/>
      <c r="Y15" s="44"/>
      <c r="Z15" s="44"/>
      <c r="AA15" s="44"/>
      <c r="AB15" s="44"/>
    </row>
    <row r="16" spans="1:30" s="35" customFormat="1" hidden="1">
      <c r="A16" s="44"/>
      <c r="B16" s="44"/>
      <c r="C16" s="44"/>
      <c r="D16" s="44"/>
      <c r="E16" s="44"/>
      <c r="F16" s="44"/>
      <c r="G16" s="44"/>
      <c r="H16" s="44"/>
      <c r="I16" s="44"/>
      <c r="J16" s="44"/>
      <c r="K16" s="44"/>
      <c r="L16" s="44"/>
      <c r="M16" s="51"/>
      <c r="N16" s="52"/>
      <c r="O16" s="52"/>
      <c r="P16" s="75"/>
      <c r="Q16" s="58"/>
      <c r="R16" s="44"/>
      <c r="S16" s="53"/>
      <c r="T16" s="58"/>
      <c r="U16" s="58"/>
      <c r="V16" s="44"/>
      <c r="W16" s="44"/>
      <c r="X16" s="44"/>
      <c r="Y16" s="44"/>
      <c r="Z16" s="44"/>
      <c r="AA16" s="44"/>
      <c r="AB16" s="44"/>
    </row>
    <row r="17" spans="1:28" s="35" customFormat="1" hidden="1">
      <c r="A17" s="44"/>
      <c r="B17" s="44"/>
      <c r="C17" s="44"/>
      <c r="D17" s="44"/>
      <c r="E17" s="44"/>
      <c r="F17" s="44"/>
      <c r="G17" s="44"/>
      <c r="H17" s="44"/>
      <c r="I17" s="44"/>
      <c r="J17" s="44"/>
      <c r="K17" s="44"/>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4"/>
      <c r="I18" s="44"/>
      <c r="J18" s="44"/>
      <c r="K18" s="44"/>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4"/>
      <c r="I19" s="44"/>
      <c r="J19" s="44"/>
      <c r="K19" s="44"/>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4"/>
      <c r="I20" s="44"/>
      <c r="J20" s="44"/>
      <c r="K20" s="44"/>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4"/>
      <c r="I21" s="44"/>
      <c r="J21" s="44"/>
      <c r="K21" s="44"/>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4"/>
      <c r="I22" s="44"/>
      <c r="J22" s="44"/>
      <c r="K22" s="44"/>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4"/>
      <c r="I23" s="44"/>
      <c r="J23" s="44"/>
      <c r="K23" s="44"/>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4"/>
      <c r="I24" s="44"/>
      <c r="J24" s="44"/>
      <c r="K24" s="44"/>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4"/>
      <c r="I25" s="44"/>
      <c r="J25" s="44"/>
      <c r="K25" s="44"/>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43"/>
      <c r="I26" s="43"/>
      <c r="J26" s="43"/>
      <c r="K26" s="43"/>
      <c r="L26" s="43"/>
      <c r="M26" s="49"/>
      <c r="N26" s="50"/>
      <c r="O26" s="50"/>
      <c r="P26" s="43"/>
      <c r="Q26" s="55"/>
      <c r="R26" s="43"/>
      <c r="S26" s="43"/>
      <c r="T26" s="43"/>
      <c r="U26" s="56"/>
      <c r="V26" s="50"/>
      <c r="W26" s="43"/>
      <c r="X26" s="57"/>
      <c r="Y26" s="43"/>
      <c r="Z26" s="43"/>
      <c r="AA26" s="43"/>
      <c r="AB26" s="43"/>
    </row>
    <row r="27" spans="1:28" s="35" customFormat="1" hidden="1">
      <c r="A27" s="44"/>
      <c r="B27" s="44"/>
      <c r="C27" s="44"/>
      <c r="D27" s="44"/>
      <c r="E27" s="44"/>
      <c r="F27" s="44"/>
      <c r="G27" s="44"/>
      <c r="H27" s="44"/>
      <c r="I27" s="44"/>
      <c r="J27" s="44"/>
      <c r="K27" s="44"/>
      <c r="L27" s="44"/>
      <c r="M27" s="51"/>
      <c r="N27" s="52"/>
      <c r="O27" s="52"/>
      <c r="P27" s="75"/>
      <c r="Q27" s="58"/>
      <c r="R27" s="44"/>
      <c r="S27" s="53"/>
      <c r="T27" s="58"/>
      <c r="U27" s="58"/>
      <c r="V27" s="52"/>
      <c r="W27" s="44"/>
      <c r="X27" s="44"/>
      <c r="Y27" s="62"/>
      <c r="Z27" s="44"/>
      <c r="AA27" s="44"/>
      <c r="AB27" s="44"/>
    </row>
    <row r="28" spans="1:28" s="35" customFormat="1" hidden="1">
      <c r="A28" s="44"/>
      <c r="B28" s="44"/>
      <c r="C28" s="44"/>
      <c r="D28" s="44"/>
      <c r="E28" s="44"/>
      <c r="F28" s="44"/>
      <c r="G28" s="44"/>
      <c r="H28" s="44"/>
      <c r="I28" s="44"/>
      <c r="J28" s="44"/>
      <c r="K28" s="44"/>
      <c r="L28" s="44"/>
      <c r="M28" s="51"/>
      <c r="N28" s="52"/>
      <c r="O28" s="52"/>
      <c r="P28" s="75"/>
      <c r="Q28" s="58"/>
      <c r="R28" s="44"/>
      <c r="S28" s="53"/>
      <c r="T28" s="58"/>
      <c r="U28" s="58"/>
      <c r="V28" s="44"/>
      <c r="W28" s="44"/>
      <c r="X28" s="44"/>
      <c r="Y28" s="62"/>
      <c r="Z28" s="44"/>
      <c r="AA28" s="44"/>
      <c r="AB28" s="44"/>
    </row>
    <row r="29" spans="1:28" s="35" customFormat="1" hidden="1">
      <c r="A29" s="44"/>
      <c r="B29" s="44"/>
      <c r="C29" s="44"/>
      <c r="D29" s="44"/>
      <c r="E29" s="44"/>
      <c r="F29" s="44"/>
      <c r="G29" s="44"/>
      <c r="H29" s="44"/>
      <c r="I29" s="44"/>
      <c r="J29" s="44"/>
      <c r="K29" s="44"/>
      <c r="L29" s="44"/>
      <c r="M29" s="51"/>
      <c r="N29" s="52"/>
      <c r="O29" s="52"/>
      <c r="P29" s="75"/>
      <c r="Q29" s="58"/>
      <c r="R29" s="44"/>
      <c r="S29" s="53"/>
      <c r="T29" s="58"/>
      <c r="U29" s="58"/>
      <c r="V29" s="44"/>
      <c r="W29" s="44"/>
      <c r="X29" s="44"/>
      <c r="Y29" s="44"/>
      <c r="Z29" s="44"/>
      <c r="AA29" s="44"/>
      <c r="AB29" s="44"/>
    </row>
    <row r="30" spans="1:28" s="35" customFormat="1" hidden="1">
      <c r="A30" s="44"/>
      <c r="B30" s="44"/>
      <c r="C30" s="44"/>
      <c r="D30" s="44"/>
      <c r="E30" s="44"/>
      <c r="F30" s="44"/>
      <c r="G30" s="44"/>
      <c r="H30" s="44"/>
      <c r="I30" s="44"/>
      <c r="J30" s="44"/>
      <c r="K30" s="44"/>
      <c r="L30" s="44"/>
      <c r="M30" s="51"/>
      <c r="N30" s="52"/>
      <c r="O30" s="52"/>
      <c r="P30" s="75"/>
      <c r="Q30" s="58"/>
      <c r="R30" s="44"/>
      <c r="S30" s="53"/>
      <c r="T30" s="58"/>
      <c r="U30" s="58"/>
      <c r="V30" s="44"/>
      <c r="W30" s="44"/>
      <c r="X30" s="44"/>
      <c r="Y30" s="44"/>
      <c r="Z30" s="44"/>
      <c r="AA30" s="44"/>
      <c r="AB30" s="44"/>
    </row>
    <row r="31" spans="1:28" s="35" customFormat="1" hidden="1">
      <c r="A31" s="44"/>
      <c r="B31" s="44"/>
      <c r="C31" s="44"/>
      <c r="D31" s="44"/>
      <c r="E31" s="44"/>
      <c r="F31" s="44"/>
      <c r="G31" s="44"/>
      <c r="H31" s="44"/>
      <c r="I31" s="44"/>
      <c r="J31" s="44"/>
      <c r="K31" s="44"/>
      <c r="L31" s="44"/>
      <c r="M31" s="51"/>
      <c r="N31" s="52"/>
      <c r="O31" s="52"/>
      <c r="P31" s="75"/>
      <c r="Q31" s="58"/>
      <c r="R31" s="44"/>
      <c r="S31" s="53"/>
      <c r="T31" s="58"/>
      <c r="U31" s="58"/>
      <c r="V31" s="44"/>
      <c r="W31" s="44"/>
      <c r="X31" s="44"/>
      <c r="Y31" s="44"/>
      <c r="Z31" s="44"/>
      <c r="AA31" s="44"/>
      <c r="AB31" s="44"/>
    </row>
    <row r="32" spans="1:28" s="35" customFormat="1" hidden="1">
      <c r="A32" s="44"/>
      <c r="B32" s="44"/>
      <c r="C32" s="44"/>
      <c r="D32" s="44"/>
      <c r="E32" s="44"/>
      <c r="F32" s="44"/>
      <c r="G32" s="44"/>
      <c r="H32" s="44"/>
      <c r="I32" s="44"/>
      <c r="J32" s="44"/>
      <c r="K32" s="44"/>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4"/>
      <c r="I33" s="44"/>
      <c r="J33" s="44"/>
      <c r="K33" s="44"/>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4"/>
      <c r="I34" s="44"/>
      <c r="J34" s="44"/>
      <c r="K34" s="44"/>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4"/>
      <c r="I35" s="44"/>
      <c r="J35" s="44"/>
      <c r="K35" s="44"/>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4"/>
      <c r="I36" s="44"/>
      <c r="J36" s="44"/>
      <c r="K36" s="44"/>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4"/>
      <c r="I37" s="44"/>
      <c r="J37" s="44"/>
      <c r="K37" s="44"/>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4"/>
      <c r="I38" s="44"/>
      <c r="J38" s="44"/>
      <c r="K38" s="44"/>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4"/>
      <c r="I39" s="44"/>
      <c r="J39" s="44"/>
      <c r="K39" s="44"/>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4"/>
      <c r="I40" s="44"/>
      <c r="J40" s="44"/>
      <c r="K40" s="44"/>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4"/>
      <c r="I41" s="44"/>
      <c r="J41" s="44"/>
      <c r="K41" s="44"/>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4"/>
      <c r="I42" s="44"/>
      <c r="J42" s="44"/>
      <c r="K42" s="44"/>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4"/>
      <c r="I43" s="44"/>
      <c r="J43" s="44"/>
      <c r="K43" s="44"/>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4"/>
      <c r="I44" s="44"/>
      <c r="J44" s="44"/>
      <c r="K44" s="44"/>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4"/>
      <c r="I45" s="44"/>
      <c r="J45" s="44"/>
      <c r="K45" s="44"/>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4"/>
      <c r="I46" s="44"/>
      <c r="J46" s="44"/>
      <c r="K46" s="44"/>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4"/>
      <c r="I47" s="44"/>
      <c r="J47" s="44"/>
      <c r="K47" s="44"/>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0">B26</f>
        <v>0</v>
      </c>
      <c r="C48" s="43">
        <f t="shared" si="0"/>
        <v>0</v>
      </c>
      <c r="D48" s="43">
        <f t="shared" si="0"/>
        <v>0</v>
      </c>
      <c r="E48" s="43">
        <f t="shared" si="0"/>
        <v>0</v>
      </c>
      <c r="F48" s="43">
        <f t="shared" si="0"/>
        <v>0</v>
      </c>
      <c r="G48" s="43">
        <f t="shared" si="0"/>
        <v>0</v>
      </c>
      <c r="H48" s="43" t="s">
        <v>65</v>
      </c>
      <c r="I48" s="43" t="s">
        <v>57</v>
      </c>
      <c r="J48" s="43" t="s">
        <v>66</v>
      </c>
      <c r="K48" s="43"/>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4"/>
      <c r="I49" s="44"/>
      <c r="J49" s="44"/>
      <c r="K49" s="44"/>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4"/>
      <c r="I50" s="44"/>
      <c r="J50" s="44"/>
      <c r="K50" s="44"/>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4"/>
      <c r="I51" s="44"/>
      <c r="J51" s="44"/>
      <c r="K51" s="44"/>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4"/>
      <c r="I52" s="44"/>
      <c r="J52" s="44"/>
      <c r="K52" s="44"/>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4"/>
      <c r="I53" s="44"/>
      <c r="J53" s="44"/>
      <c r="K53" s="44"/>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4"/>
      <c r="I54" s="44"/>
      <c r="J54" s="44"/>
      <c r="K54" s="44"/>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4"/>
      <c r="I55" s="44"/>
      <c r="J55" s="44"/>
      <c r="K55" s="44"/>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4"/>
      <c r="I56" s="44"/>
      <c r="J56" s="44"/>
      <c r="K56" s="44"/>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4"/>
      <c r="I57" s="44"/>
      <c r="J57" s="44"/>
      <c r="K57" s="44"/>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4"/>
      <c r="I58" s="44"/>
      <c r="J58" s="44"/>
      <c r="K58" s="44"/>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4"/>
      <c r="I59" s="44"/>
      <c r="J59" s="44"/>
      <c r="K59" s="44"/>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4"/>
      <c r="I60" s="44"/>
      <c r="J60" s="44"/>
      <c r="K60" s="44"/>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4"/>
      <c r="I61" s="44"/>
      <c r="J61" s="44"/>
      <c r="K61" s="44"/>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4"/>
      <c r="I62" s="44"/>
      <c r="J62" s="44"/>
      <c r="K62" s="44"/>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4"/>
      <c r="I63" s="44"/>
      <c r="J63" s="44"/>
      <c r="K63" s="44"/>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4"/>
      <c r="I64" s="44"/>
      <c r="J64" s="44"/>
      <c r="K64" s="44"/>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4"/>
      <c r="I65" s="44"/>
      <c r="J65" s="44"/>
      <c r="K65" s="44"/>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4"/>
      <c r="I66" s="44"/>
      <c r="J66" s="44"/>
      <c r="K66" s="44"/>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4"/>
      <c r="I67" s="44"/>
      <c r="J67" s="44"/>
      <c r="K67" s="44"/>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4"/>
      <c r="I68" s="44"/>
      <c r="J68" s="44"/>
      <c r="K68" s="44"/>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4"/>
      <c r="I69" s="44"/>
      <c r="J69" s="44"/>
      <c r="K69" s="44"/>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1">B48</f>
        <v>0</v>
      </c>
      <c r="C70" s="43">
        <f t="shared" si="1"/>
        <v>0</v>
      </c>
      <c r="D70" s="43">
        <f t="shared" si="1"/>
        <v>0</v>
      </c>
      <c r="E70" s="43">
        <f t="shared" si="1"/>
        <v>0</v>
      </c>
      <c r="F70" s="43">
        <f t="shared" si="1"/>
        <v>0</v>
      </c>
      <c r="G70" s="43">
        <f t="shared" si="1"/>
        <v>0</v>
      </c>
      <c r="H70" s="43"/>
      <c r="I70" s="43"/>
      <c r="J70" s="43"/>
      <c r="K70" s="43"/>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4"/>
      <c r="I71" s="44"/>
      <c r="J71" s="44"/>
      <c r="K71" s="44"/>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4"/>
      <c r="I72" s="44"/>
      <c r="J72" s="44"/>
      <c r="K72" s="44"/>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4"/>
      <c r="I73" s="44"/>
      <c r="J73" s="44"/>
      <c r="K73" s="44"/>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4"/>
      <c r="I74" s="44"/>
      <c r="J74" s="44"/>
      <c r="K74" s="44"/>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4"/>
      <c r="I75" s="44"/>
      <c r="J75" s="44"/>
      <c r="K75" s="44"/>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4"/>
      <c r="I76" s="44"/>
      <c r="J76" s="44"/>
      <c r="K76" s="44"/>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4"/>
      <c r="I77" s="44"/>
      <c r="J77" s="44"/>
      <c r="K77" s="44"/>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4"/>
      <c r="I78" s="44"/>
      <c r="J78" s="44"/>
      <c r="K78" s="44"/>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4"/>
      <c r="I79" s="44"/>
      <c r="J79" s="44"/>
      <c r="K79" s="44"/>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4"/>
      <c r="I80" s="44"/>
      <c r="J80" s="44"/>
      <c r="K80" s="44"/>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4"/>
      <c r="I81" s="44"/>
      <c r="J81" s="44"/>
      <c r="K81" s="44"/>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4"/>
      <c r="I82" s="44"/>
      <c r="J82" s="44"/>
      <c r="K82" s="44"/>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4"/>
      <c r="I83" s="44"/>
      <c r="J83" s="44"/>
      <c r="K83" s="44"/>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4"/>
      <c r="I84" s="44"/>
      <c r="J84" s="44"/>
      <c r="K84" s="44"/>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4"/>
      <c r="I85" s="44"/>
      <c r="J85" s="44"/>
      <c r="K85" s="44"/>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4"/>
      <c r="I86" s="44"/>
      <c r="J86" s="44"/>
      <c r="K86" s="44"/>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4"/>
      <c r="I87" s="44"/>
      <c r="J87" s="44"/>
      <c r="K87" s="44"/>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4"/>
      <c r="I88" s="44"/>
      <c r="J88" s="44"/>
      <c r="K88" s="44"/>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4"/>
      <c r="I89" s="44"/>
      <c r="J89" s="44"/>
      <c r="K89" s="44"/>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4"/>
      <c r="I90" s="44"/>
      <c r="J90" s="44"/>
      <c r="K90" s="44"/>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4"/>
      <c r="I91" s="44"/>
      <c r="J91" s="44"/>
      <c r="K91" s="44"/>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2">B70</f>
        <v>0</v>
      </c>
      <c r="C92" s="43">
        <f t="shared" si="2"/>
        <v>0</v>
      </c>
      <c r="D92" s="43">
        <f t="shared" si="2"/>
        <v>0</v>
      </c>
      <c r="E92" s="43">
        <f t="shared" si="2"/>
        <v>0</v>
      </c>
      <c r="F92" s="43">
        <f t="shared" si="2"/>
        <v>0</v>
      </c>
      <c r="G92" s="43">
        <f t="shared" si="2"/>
        <v>0</v>
      </c>
      <c r="H92" s="43"/>
      <c r="I92" s="43"/>
      <c r="J92" s="43"/>
      <c r="K92" s="43"/>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4"/>
      <c r="I93" s="44"/>
      <c r="J93" s="44"/>
      <c r="K93" s="44"/>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4"/>
      <c r="I94" s="44"/>
      <c r="J94" s="44"/>
      <c r="K94" s="44"/>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4"/>
      <c r="I95" s="44"/>
      <c r="J95" s="44"/>
      <c r="K95" s="44"/>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4"/>
      <c r="I96" s="44"/>
      <c r="J96" s="44"/>
      <c r="K96" s="44"/>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4"/>
      <c r="I97" s="44"/>
      <c r="J97" s="44"/>
      <c r="K97" s="44"/>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4"/>
      <c r="I98" s="44"/>
      <c r="J98" s="44"/>
      <c r="K98" s="44"/>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4"/>
      <c r="I99" s="44"/>
      <c r="J99" s="44"/>
      <c r="K99" s="44"/>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4"/>
      <c r="I100" s="44"/>
      <c r="J100" s="44"/>
      <c r="K100" s="44"/>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4"/>
      <c r="I101" s="44"/>
      <c r="J101" s="44"/>
      <c r="K101" s="44"/>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4"/>
      <c r="I102" s="44"/>
      <c r="J102" s="44"/>
      <c r="K102" s="44"/>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4"/>
      <c r="I103" s="44"/>
      <c r="J103" s="44"/>
      <c r="K103" s="44"/>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4"/>
      <c r="I104" s="44"/>
      <c r="J104" s="44"/>
      <c r="K104" s="44"/>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4"/>
      <c r="I105" s="44"/>
      <c r="J105" s="44"/>
      <c r="K105" s="44"/>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4"/>
      <c r="I106" s="44"/>
      <c r="J106" s="44"/>
      <c r="K106" s="44"/>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4"/>
      <c r="I107" s="44"/>
      <c r="J107" s="44"/>
      <c r="K107" s="44"/>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4"/>
      <c r="I108" s="44"/>
      <c r="J108" s="44"/>
      <c r="K108" s="44"/>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4"/>
      <c r="I109" s="44"/>
      <c r="J109" s="44"/>
      <c r="K109" s="44"/>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4"/>
      <c r="I110" s="44"/>
      <c r="J110" s="44"/>
      <c r="K110" s="44"/>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4"/>
      <c r="I111" s="44"/>
      <c r="J111" s="44"/>
      <c r="K111" s="44"/>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4"/>
      <c r="I112" s="44"/>
      <c r="J112" s="44"/>
      <c r="K112" s="44"/>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4"/>
      <c r="I113" s="44"/>
      <c r="J113" s="44"/>
      <c r="K113" s="44"/>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43"/>
      <c r="I114" s="43"/>
      <c r="J114" s="43"/>
      <c r="K114" s="43">
        <f>K92+K70+K48+K26++K4</f>
        <v>1000</v>
      </c>
      <c r="L114" s="43"/>
      <c r="M114" s="49"/>
      <c r="N114" s="50"/>
      <c r="O114" s="50"/>
      <c r="P114" s="76"/>
      <c r="Q114" s="43"/>
      <c r="R114" s="43">
        <f>R92+R70+R48+R26++R4</f>
        <v>9.66</v>
      </c>
      <c r="S114" s="43"/>
      <c r="T114" s="43"/>
      <c r="U114" s="43"/>
      <c r="V114" s="43"/>
      <c r="W114" s="43"/>
      <c r="X114" s="43"/>
      <c r="Y114" s="43">
        <f>Y92+Y70+Y48+Y26++Y4</f>
        <v>9.65</v>
      </c>
      <c r="Z114" s="43"/>
      <c r="AA114" s="43"/>
      <c r="AB114" s="43"/>
    </row>
    <row r="115" spans="1:28">
      <c r="I115" s="36" t="s">
        <v>49</v>
      </c>
      <c r="K115" s="36">
        <f>IF(K114&gt;3000,K116,K114)</f>
        <v>1000</v>
      </c>
    </row>
    <row r="116" spans="1:28">
      <c r="K116" s="36"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D116"/>
  <sheetViews>
    <sheetView zoomScale="120" zoomScaleNormal="120" workbookViewId="0">
      <pane ySplit="3" topLeftCell="A4" activePane="bottomLeft" state="frozen"/>
      <selection pane="bottomLeft" activeCell="T131" sqref="T131"/>
    </sheetView>
  </sheetViews>
  <sheetFormatPr defaultColWidth="9" defaultRowHeight="14"/>
  <cols>
    <col min="1" max="6" width="9" style="36"/>
    <col min="7" max="7" width="9" style="36" customWidth="1"/>
    <col min="8" max="8" width="9" style="72"/>
    <col min="9" max="9" width="9" style="36"/>
    <col min="10" max="11" width="9" style="72"/>
    <col min="12" max="12" width="9" style="36"/>
    <col min="13" max="13" width="9" style="37"/>
    <col min="14" max="15" width="10.75" style="38" customWidth="1"/>
    <col min="16" max="16" width="11.08203125" style="73" customWidth="1"/>
    <col min="17" max="18" width="9" style="36"/>
    <col min="19" max="19" width="9.83203125" style="36" customWidth="1"/>
    <col min="20" max="20" width="13.25" style="36" customWidth="1"/>
    <col min="21" max="21" width="11" style="36" customWidth="1"/>
    <col min="22" max="22" width="11.5" style="36" customWidth="1"/>
    <col min="23" max="24" width="9" style="36"/>
    <col min="25" max="25" width="11.75" style="36" customWidth="1"/>
    <col min="26" max="28" width="9" style="36"/>
    <col min="29" max="29" width="9" style="36" hidden="1" customWidth="1"/>
    <col min="30" max="30" width="11.75" style="36" customWidth="1"/>
    <col min="31" max="16384" width="9" style="36"/>
  </cols>
  <sheetData>
    <row r="1" spans="1:30" ht="25">
      <c r="B1" s="163" t="str">
        <f>B4&amp;AC1</f>
        <v>四川图特新能源发展有限公司审计明细表</v>
      </c>
      <c r="C1" s="163"/>
      <c r="D1" s="163"/>
      <c r="E1" s="163"/>
      <c r="F1" s="163"/>
      <c r="G1" s="163"/>
      <c r="H1" s="163"/>
      <c r="I1" s="163"/>
      <c r="J1" s="163"/>
      <c r="K1" s="163"/>
      <c r="L1" s="163"/>
      <c r="M1" s="163"/>
      <c r="N1" s="163"/>
      <c r="O1" s="163"/>
      <c r="P1" s="164"/>
      <c r="Q1" s="163"/>
      <c r="R1" s="163"/>
      <c r="S1" s="163"/>
      <c r="T1" s="163"/>
      <c r="U1" s="163"/>
      <c r="V1" s="163"/>
      <c r="W1" s="39"/>
      <c r="X1" s="39"/>
      <c r="AC1" s="36" t="s">
        <v>0</v>
      </c>
    </row>
    <row r="2" spans="1:30" ht="14.5" customHeight="1">
      <c r="A2" s="168" t="s">
        <v>1</v>
      </c>
      <c r="B2" s="169" t="s">
        <v>2</v>
      </c>
      <c r="C2" s="167" t="s">
        <v>3</v>
      </c>
      <c r="D2" s="167" t="s">
        <v>4</v>
      </c>
      <c r="E2" s="171" t="s">
        <v>5</v>
      </c>
      <c r="F2" s="171" t="s">
        <v>6</v>
      </c>
      <c r="G2" s="173" t="s">
        <v>7</v>
      </c>
      <c r="H2" s="167" t="s">
        <v>8</v>
      </c>
      <c r="I2" s="165" t="s">
        <v>9</v>
      </c>
      <c r="J2" s="165"/>
      <c r="K2" s="165"/>
      <c r="L2" s="165"/>
      <c r="M2" s="165"/>
      <c r="N2" s="165"/>
      <c r="O2" s="165"/>
      <c r="P2" s="166"/>
      <c r="Q2" s="165"/>
      <c r="R2" s="165"/>
      <c r="S2" s="167" t="s">
        <v>10</v>
      </c>
      <c r="T2" s="167"/>
      <c r="U2" s="167"/>
      <c r="V2" s="167"/>
      <c r="W2" s="167"/>
      <c r="X2" s="167"/>
      <c r="Y2" s="167"/>
      <c r="Z2" s="41"/>
      <c r="AA2" s="41"/>
      <c r="AB2" s="167" t="s">
        <v>11</v>
      </c>
    </row>
    <row r="3" spans="1:30" ht="36">
      <c r="A3" s="169"/>
      <c r="B3" s="169"/>
      <c r="C3" s="170"/>
      <c r="D3" s="170"/>
      <c r="E3" s="172"/>
      <c r="F3" s="172"/>
      <c r="G3" s="170"/>
      <c r="H3" s="170"/>
      <c r="I3" s="45" t="s">
        <v>12</v>
      </c>
      <c r="J3" s="40" t="s">
        <v>13</v>
      </c>
      <c r="K3" s="41" t="s">
        <v>14</v>
      </c>
      <c r="L3" s="42" t="s">
        <v>15</v>
      </c>
      <c r="M3" s="46" t="s">
        <v>16</v>
      </c>
      <c r="N3" s="47" t="s">
        <v>17</v>
      </c>
      <c r="O3" s="47" t="s">
        <v>18</v>
      </c>
      <c r="P3" s="74" t="s">
        <v>19</v>
      </c>
      <c r="Q3" s="48" t="s">
        <v>20</v>
      </c>
      <c r="R3" s="41" t="s">
        <v>21</v>
      </c>
      <c r="S3" s="41" t="s">
        <v>22</v>
      </c>
      <c r="T3" s="54" t="s">
        <v>23</v>
      </c>
      <c r="U3" s="41" t="s">
        <v>24</v>
      </c>
      <c r="V3" s="41" t="s">
        <v>25</v>
      </c>
      <c r="W3" s="41" t="s">
        <v>26</v>
      </c>
      <c r="X3" s="41" t="s">
        <v>27</v>
      </c>
      <c r="Y3" s="59" t="s">
        <v>28</v>
      </c>
      <c r="Z3" s="41" t="s">
        <v>29</v>
      </c>
      <c r="AA3" s="41" t="s">
        <v>30</v>
      </c>
      <c r="AB3" s="167"/>
      <c r="AC3" s="60"/>
    </row>
    <row r="4" spans="1:30" s="34" customFormat="1" ht="56">
      <c r="A4" s="43">
        <v>1</v>
      </c>
      <c r="B4" s="43" t="s">
        <v>726</v>
      </c>
      <c r="C4" s="43" t="s">
        <v>1005</v>
      </c>
      <c r="D4" s="43" t="s">
        <v>1006</v>
      </c>
      <c r="E4" s="43" t="s">
        <v>1007</v>
      </c>
      <c r="F4" s="43" t="s">
        <v>1008</v>
      </c>
      <c r="G4" s="43" t="s">
        <v>1009</v>
      </c>
      <c r="H4" s="71" t="s">
        <v>37</v>
      </c>
      <c r="I4" s="43" t="s">
        <v>1010</v>
      </c>
      <c r="J4" s="71" t="s">
        <v>58</v>
      </c>
      <c r="K4" s="71">
        <v>100</v>
      </c>
      <c r="L4" s="43" t="s">
        <v>1011</v>
      </c>
      <c r="M4" s="49" t="s">
        <v>1012</v>
      </c>
      <c r="N4" s="50">
        <v>44869</v>
      </c>
      <c r="O4" s="50">
        <v>45232</v>
      </c>
      <c r="P4" s="43">
        <f>P16-N4</f>
        <v>382</v>
      </c>
      <c r="Q4" s="55">
        <f>SUM(Q5:Q25)</f>
        <v>4.21</v>
      </c>
      <c r="R4" s="55">
        <v>1</v>
      </c>
      <c r="S4" s="43"/>
      <c r="T4" s="55">
        <f>SUM(T5:T25)</f>
        <v>4.42</v>
      </c>
      <c r="U4" s="56">
        <v>4.1500000000000002E-2</v>
      </c>
      <c r="V4" s="50"/>
      <c r="W4" s="43" t="s">
        <v>42</v>
      </c>
      <c r="X4" s="57">
        <v>0.01</v>
      </c>
      <c r="Y4" s="43">
        <f>ROUNDDOWN(IF((O4-N4+1)*K4*X4/365&gt;R4,R4,(O4-N4+1)*K4*X4/365),2)</f>
        <v>0.99</v>
      </c>
      <c r="Z4" s="55">
        <f>R4-Y4</f>
        <v>0.01</v>
      </c>
      <c r="AA4" s="55" t="s">
        <v>43</v>
      </c>
      <c r="AB4" s="43" t="s">
        <v>61</v>
      </c>
      <c r="AD4" s="61">
        <f>(O4-N4+1)*K4*X4/365</f>
        <v>0.99729999999999996</v>
      </c>
    </row>
    <row r="5" spans="1:30" s="35" customFormat="1" hidden="1">
      <c r="A5" s="44"/>
      <c r="B5" s="44"/>
      <c r="C5" s="44"/>
      <c r="D5" s="44"/>
      <c r="E5" s="44"/>
      <c r="F5" s="44"/>
      <c r="G5" s="44"/>
      <c r="H5" s="42"/>
      <c r="I5" s="44"/>
      <c r="J5" s="42"/>
      <c r="K5" s="42"/>
      <c r="L5" s="44"/>
      <c r="M5" s="51"/>
      <c r="N5" s="52"/>
      <c r="O5" s="52"/>
      <c r="P5" s="75">
        <v>44551</v>
      </c>
      <c r="Q5" s="58">
        <v>0.54</v>
      </c>
      <c r="R5" s="44"/>
      <c r="S5" s="53">
        <f t="shared" ref="S5:S16" si="0">P5</f>
        <v>44551</v>
      </c>
      <c r="T5" s="58">
        <f>(S5-N4)/360*$U$4*$K$4</f>
        <v>-3.67</v>
      </c>
      <c r="U5" s="58">
        <f t="shared" ref="U5:U16" si="1">T5-Q5</f>
        <v>-4.21</v>
      </c>
      <c r="V5" s="52"/>
      <c r="W5" s="44"/>
      <c r="X5" s="44"/>
      <c r="Y5" s="44">
        <f>ROUNDDOWN((V5-N4)*K4*X4/365,2)</f>
        <v>-122.92</v>
      </c>
      <c r="Z5" s="44"/>
      <c r="AA5" s="44"/>
      <c r="AB5" s="44"/>
    </row>
    <row r="6" spans="1:30" s="35" customFormat="1" hidden="1">
      <c r="A6" s="44"/>
      <c r="B6" s="44"/>
      <c r="C6" s="44"/>
      <c r="D6" s="44"/>
      <c r="E6" s="44"/>
      <c r="F6" s="44"/>
      <c r="G6" s="44"/>
      <c r="H6" s="42"/>
      <c r="I6" s="44"/>
      <c r="J6" s="42"/>
      <c r="K6" s="42"/>
      <c r="L6" s="44"/>
      <c r="M6" s="51"/>
      <c r="N6" s="52"/>
      <c r="O6" s="52"/>
      <c r="P6" s="75">
        <v>44947</v>
      </c>
      <c r="Q6" s="58">
        <v>0.36</v>
      </c>
      <c r="R6" s="44"/>
      <c r="S6" s="53">
        <f t="shared" si="0"/>
        <v>44947</v>
      </c>
      <c r="T6" s="58">
        <f t="shared" ref="T6:T16" si="2">(S6-S5)*$K$4*$U$4/360</f>
        <v>4.57</v>
      </c>
      <c r="U6" s="58">
        <f t="shared" si="1"/>
        <v>4.21</v>
      </c>
      <c r="V6" s="44"/>
      <c r="W6" s="44"/>
      <c r="X6" s="44"/>
      <c r="Y6" s="44"/>
      <c r="Z6" s="44"/>
      <c r="AA6" s="44"/>
      <c r="AB6" s="44"/>
    </row>
    <row r="7" spans="1:30" s="35" customFormat="1" hidden="1">
      <c r="A7" s="44"/>
      <c r="B7" s="44"/>
      <c r="C7" s="44"/>
      <c r="D7" s="44"/>
      <c r="E7" s="44"/>
      <c r="F7" s="44"/>
      <c r="G7" s="44"/>
      <c r="H7" s="42"/>
      <c r="I7" s="44"/>
      <c r="J7" s="42"/>
      <c r="K7" s="42"/>
      <c r="L7" s="44"/>
      <c r="M7" s="51"/>
      <c r="N7" s="52"/>
      <c r="O7" s="52"/>
      <c r="P7" s="75">
        <v>44978</v>
      </c>
      <c r="Q7" s="58">
        <v>0.36</v>
      </c>
      <c r="R7" s="44"/>
      <c r="S7" s="53">
        <f t="shared" si="0"/>
        <v>44978</v>
      </c>
      <c r="T7" s="58">
        <f t="shared" si="2"/>
        <v>0.36</v>
      </c>
      <c r="U7" s="58">
        <f t="shared" si="1"/>
        <v>0</v>
      </c>
      <c r="V7" s="44"/>
      <c r="W7" s="44"/>
      <c r="X7" s="44"/>
      <c r="Y7" s="44"/>
      <c r="Z7" s="44"/>
      <c r="AA7" s="44"/>
      <c r="AB7" s="44"/>
    </row>
    <row r="8" spans="1:30" s="35" customFormat="1" hidden="1">
      <c r="A8" s="44"/>
      <c r="B8" s="44"/>
      <c r="C8" s="44"/>
      <c r="D8" s="44"/>
      <c r="E8" s="44"/>
      <c r="F8" s="44"/>
      <c r="G8" s="44"/>
      <c r="H8" s="42"/>
      <c r="I8" s="44"/>
      <c r="J8" s="42"/>
      <c r="K8" s="42"/>
      <c r="L8" s="44"/>
      <c r="M8" s="51"/>
      <c r="N8" s="52"/>
      <c r="O8" s="52"/>
      <c r="P8" s="75">
        <v>45006</v>
      </c>
      <c r="Q8" s="58">
        <v>0.32</v>
      </c>
      <c r="R8" s="44"/>
      <c r="S8" s="53">
        <f t="shared" si="0"/>
        <v>45006</v>
      </c>
      <c r="T8" s="58">
        <f t="shared" si="2"/>
        <v>0.32</v>
      </c>
      <c r="U8" s="58">
        <f t="shared" si="1"/>
        <v>0</v>
      </c>
      <c r="V8" s="44"/>
      <c r="W8" s="44"/>
      <c r="X8" s="44"/>
      <c r="Y8" s="44"/>
      <c r="Z8" s="44"/>
      <c r="AA8" s="44"/>
      <c r="AB8" s="44"/>
    </row>
    <row r="9" spans="1:30" s="35" customFormat="1" hidden="1">
      <c r="A9" s="44"/>
      <c r="B9" s="44"/>
      <c r="C9" s="44"/>
      <c r="D9" s="44"/>
      <c r="E9" s="44"/>
      <c r="F9" s="44"/>
      <c r="G9" s="44"/>
      <c r="H9" s="42"/>
      <c r="I9" s="44"/>
      <c r="J9" s="42"/>
      <c r="K9" s="42"/>
      <c r="L9" s="44"/>
      <c r="M9" s="51"/>
      <c r="N9" s="52"/>
      <c r="O9" s="52"/>
      <c r="P9" s="75">
        <v>45037</v>
      </c>
      <c r="Q9" s="58">
        <v>0.36</v>
      </c>
      <c r="R9" s="44"/>
      <c r="S9" s="53">
        <f t="shared" si="0"/>
        <v>45037</v>
      </c>
      <c r="T9" s="58">
        <f t="shared" si="2"/>
        <v>0.36</v>
      </c>
      <c r="U9" s="58">
        <f t="shared" si="1"/>
        <v>0</v>
      </c>
      <c r="V9" s="44"/>
      <c r="W9" s="44"/>
      <c r="X9" s="44"/>
      <c r="Y9" s="44"/>
      <c r="Z9" s="44"/>
      <c r="AA9" s="44"/>
      <c r="AB9" s="44"/>
    </row>
    <row r="10" spans="1:30" s="35" customFormat="1" hidden="1">
      <c r="A10" s="44"/>
      <c r="B10" s="44"/>
      <c r="C10" s="44"/>
      <c r="D10" s="44"/>
      <c r="E10" s="44"/>
      <c r="F10" s="44"/>
      <c r="G10" s="44"/>
      <c r="H10" s="42"/>
      <c r="I10" s="44"/>
      <c r="J10" s="42"/>
      <c r="K10" s="42"/>
      <c r="L10" s="44"/>
      <c r="M10" s="51"/>
      <c r="N10" s="52"/>
      <c r="O10" s="52"/>
      <c r="P10" s="75">
        <v>45067</v>
      </c>
      <c r="Q10" s="58">
        <v>0.35</v>
      </c>
      <c r="R10" s="44"/>
      <c r="S10" s="53">
        <f t="shared" si="0"/>
        <v>45067</v>
      </c>
      <c r="T10" s="58">
        <f t="shared" si="2"/>
        <v>0.35</v>
      </c>
      <c r="U10" s="58">
        <f t="shared" si="1"/>
        <v>0</v>
      </c>
      <c r="V10" s="44"/>
      <c r="W10" s="44"/>
      <c r="X10" s="44"/>
      <c r="Y10" s="44"/>
      <c r="Z10" s="44"/>
      <c r="AA10" s="44"/>
      <c r="AB10" s="44"/>
    </row>
    <row r="11" spans="1:30" s="35" customFormat="1" hidden="1">
      <c r="A11" s="44"/>
      <c r="B11" s="44"/>
      <c r="C11" s="44"/>
      <c r="D11" s="44"/>
      <c r="E11" s="44"/>
      <c r="F11" s="44"/>
      <c r="G11" s="44"/>
      <c r="H11" s="42"/>
      <c r="I11" s="44"/>
      <c r="J11" s="42"/>
      <c r="K11" s="42"/>
      <c r="L11" s="44"/>
      <c r="M11" s="51"/>
      <c r="N11" s="52"/>
      <c r="O11" s="52"/>
      <c r="P11" s="75">
        <v>45099</v>
      </c>
      <c r="Q11" s="58">
        <v>0.36</v>
      </c>
      <c r="R11" s="44"/>
      <c r="S11" s="53">
        <f t="shared" si="0"/>
        <v>45099</v>
      </c>
      <c r="T11" s="58">
        <f t="shared" si="2"/>
        <v>0.37</v>
      </c>
      <c r="U11" s="58">
        <f t="shared" si="1"/>
        <v>0.01</v>
      </c>
      <c r="V11" s="44"/>
      <c r="W11" s="44"/>
      <c r="X11" s="44"/>
      <c r="Y11" s="44"/>
      <c r="Z11" s="44"/>
      <c r="AA11" s="44"/>
      <c r="AB11" s="44"/>
    </row>
    <row r="12" spans="1:30" s="35" customFormat="1" hidden="1">
      <c r="A12" s="44"/>
      <c r="B12" s="44"/>
      <c r="C12" s="44"/>
      <c r="D12" s="44"/>
      <c r="E12" s="44"/>
      <c r="F12" s="44"/>
      <c r="G12" s="44"/>
      <c r="H12" s="42"/>
      <c r="I12" s="44"/>
      <c r="J12" s="42"/>
      <c r="K12" s="42"/>
      <c r="L12" s="44"/>
      <c r="M12" s="51"/>
      <c r="N12" s="52"/>
      <c r="O12" s="52"/>
      <c r="P12" s="75">
        <v>45128</v>
      </c>
      <c r="Q12" s="58">
        <v>0.35</v>
      </c>
      <c r="R12" s="44"/>
      <c r="S12" s="53">
        <f t="shared" si="0"/>
        <v>45128</v>
      </c>
      <c r="T12" s="58">
        <f t="shared" si="2"/>
        <v>0.33</v>
      </c>
      <c r="U12" s="58">
        <f t="shared" si="1"/>
        <v>-0.02</v>
      </c>
      <c r="V12" s="44"/>
      <c r="W12" s="44"/>
      <c r="X12" s="44"/>
      <c r="Y12" s="44"/>
      <c r="Z12" s="44"/>
      <c r="AA12" s="44"/>
      <c r="AB12" s="44"/>
    </row>
    <row r="13" spans="1:30" s="35" customFormat="1" hidden="1">
      <c r="A13" s="44"/>
      <c r="B13" s="44"/>
      <c r="C13" s="44"/>
      <c r="D13" s="44"/>
      <c r="E13" s="44"/>
      <c r="F13" s="44"/>
      <c r="G13" s="44"/>
      <c r="H13" s="42"/>
      <c r="I13" s="44"/>
      <c r="J13" s="42"/>
      <c r="K13" s="42"/>
      <c r="L13" s="44"/>
      <c r="M13" s="51"/>
      <c r="N13" s="52"/>
      <c r="O13" s="52"/>
      <c r="P13" s="75">
        <v>45159</v>
      </c>
      <c r="Q13" s="58">
        <v>0.36</v>
      </c>
      <c r="R13" s="44"/>
      <c r="S13" s="53">
        <f t="shared" si="0"/>
        <v>45159</v>
      </c>
      <c r="T13" s="58">
        <f t="shared" si="2"/>
        <v>0.36</v>
      </c>
      <c r="U13" s="58">
        <f t="shared" si="1"/>
        <v>0</v>
      </c>
      <c r="V13" s="44"/>
      <c r="W13" s="44"/>
      <c r="X13" s="44"/>
      <c r="Y13" s="44"/>
      <c r="Z13" s="44"/>
      <c r="AA13" s="44"/>
      <c r="AB13" s="44"/>
    </row>
    <row r="14" spans="1:30" s="35" customFormat="1" hidden="1">
      <c r="A14" s="44"/>
      <c r="B14" s="44"/>
      <c r="C14" s="44"/>
      <c r="D14" s="44"/>
      <c r="E14" s="44"/>
      <c r="F14" s="44"/>
      <c r="G14" s="44"/>
      <c r="H14" s="42"/>
      <c r="I14" s="44"/>
      <c r="J14" s="42"/>
      <c r="K14" s="42"/>
      <c r="L14" s="44"/>
      <c r="M14" s="51"/>
      <c r="N14" s="52"/>
      <c r="O14" s="52"/>
      <c r="P14" s="75">
        <v>45190</v>
      </c>
      <c r="Q14" s="58">
        <v>0.36</v>
      </c>
      <c r="R14" s="44"/>
      <c r="S14" s="53">
        <f t="shared" si="0"/>
        <v>45190</v>
      </c>
      <c r="T14" s="58">
        <f t="shared" si="2"/>
        <v>0.36</v>
      </c>
      <c r="U14" s="58">
        <f t="shared" si="1"/>
        <v>0</v>
      </c>
      <c r="V14" s="44"/>
      <c r="W14" s="44"/>
      <c r="X14" s="44"/>
      <c r="Y14" s="44"/>
      <c r="Z14" s="44"/>
      <c r="AA14" s="44"/>
      <c r="AB14" s="44"/>
    </row>
    <row r="15" spans="1:30" s="35" customFormat="1" hidden="1">
      <c r="A15" s="44"/>
      <c r="B15" s="44"/>
      <c r="C15" s="44"/>
      <c r="D15" s="44"/>
      <c r="E15" s="44"/>
      <c r="F15" s="44"/>
      <c r="G15" s="44"/>
      <c r="H15" s="42"/>
      <c r="I15" s="44"/>
      <c r="J15" s="42"/>
      <c r="K15" s="42"/>
      <c r="L15" s="44"/>
      <c r="M15" s="51"/>
      <c r="N15" s="52"/>
      <c r="O15" s="52"/>
      <c r="P15" s="75">
        <v>45220</v>
      </c>
      <c r="Q15" s="58">
        <v>0.35</v>
      </c>
      <c r="R15" s="44"/>
      <c r="S15" s="53">
        <f t="shared" si="0"/>
        <v>45220</v>
      </c>
      <c r="T15" s="58">
        <f t="shared" si="2"/>
        <v>0.35</v>
      </c>
      <c r="U15" s="58">
        <f t="shared" si="1"/>
        <v>0</v>
      </c>
      <c r="V15" s="44"/>
      <c r="W15" s="44"/>
      <c r="X15" s="44"/>
      <c r="Y15" s="44"/>
      <c r="Z15" s="44"/>
      <c r="AA15" s="44"/>
      <c r="AB15" s="44"/>
    </row>
    <row r="16" spans="1:30" s="35" customFormat="1" hidden="1">
      <c r="A16" s="44"/>
      <c r="B16" s="44"/>
      <c r="C16" s="44"/>
      <c r="D16" s="44"/>
      <c r="E16" s="44"/>
      <c r="F16" s="44"/>
      <c r="G16" s="44"/>
      <c r="H16" s="42"/>
      <c r="I16" s="44"/>
      <c r="J16" s="42"/>
      <c r="K16" s="42"/>
      <c r="L16" s="44"/>
      <c r="M16" s="51"/>
      <c r="N16" s="52"/>
      <c r="O16" s="52"/>
      <c r="P16" s="75">
        <v>45251</v>
      </c>
      <c r="Q16" s="58">
        <v>0.14000000000000001</v>
      </c>
      <c r="R16" s="44"/>
      <c r="S16" s="53">
        <f t="shared" si="0"/>
        <v>45251</v>
      </c>
      <c r="T16" s="58">
        <f t="shared" si="2"/>
        <v>0.36</v>
      </c>
      <c r="U16" s="58">
        <f t="shared" si="1"/>
        <v>0.22</v>
      </c>
      <c r="V16" s="44"/>
      <c r="W16" s="44"/>
      <c r="X16" s="44"/>
      <c r="Y16" s="44"/>
      <c r="Z16" s="44"/>
      <c r="AA16" s="44"/>
      <c r="AB16" s="44"/>
    </row>
    <row r="17" spans="1:28" s="35" customFormat="1" hidden="1">
      <c r="A17" s="44"/>
      <c r="B17" s="44"/>
      <c r="C17" s="44"/>
      <c r="D17" s="44"/>
      <c r="E17" s="44"/>
      <c r="F17" s="44"/>
      <c r="G17" s="44"/>
      <c r="H17" s="42"/>
      <c r="I17" s="44"/>
      <c r="J17" s="42"/>
      <c r="K17" s="42"/>
      <c r="L17" s="44"/>
      <c r="M17" s="51"/>
      <c r="N17" s="52"/>
      <c r="O17" s="52"/>
      <c r="P17" s="75"/>
      <c r="Q17" s="58"/>
      <c r="R17" s="44"/>
      <c r="S17" s="53"/>
      <c r="T17" s="58"/>
      <c r="U17" s="58"/>
      <c r="V17" s="44"/>
      <c r="W17" s="44"/>
      <c r="X17" s="44"/>
      <c r="Y17" s="44"/>
      <c r="Z17" s="44"/>
      <c r="AA17" s="44"/>
      <c r="AB17" s="44"/>
    </row>
    <row r="18" spans="1:28" s="35" customFormat="1" hidden="1">
      <c r="A18" s="44"/>
      <c r="B18" s="44"/>
      <c r="C18" s="44"/>
      <c r="D18" s="44"/>
      <c r="E18" s="44"/>
      <c r="F18" s="44"/>
      <c r="G18" s="44"/>
      <c r="H18" s="42"/>
      <c r="I18" s="44"/>
      <c r="J18" s="42"/>
      <c r="K18" s="42"/>
      <c r="L18" s="44"/>
      <c r="M18" s="51"/>
      <c r="N18" s="52"/>
      <c r="O18" s="52"/>
      <c r="P18" s="75"/>
      <c r="Q18" s="58"/>
      <c r="R18" s="44"/>
      <c r="S18" s="53"/>
      <c r="T18" s="58"/>
      <c r="U18" s="58"/>
      <c r="V18" s="44"/>
      <c r="W18" s="44"/>
      <c r="X18" s="44"/>
      <c r="Y18" s="44"/>
      <c r="Z18" s="44"/>
      <c r="AA18" s="44"/>
      <c r="AB18" s="44"/>
    </row>
    <row r="19" spans="1:28" s="35" customFormat="1" hidden="1">
      <c r="A19" s="44"/>
      <c r="B19" s="44"/>
      <c r="C19" s="44"/>
      <c r="D19" s="44"/>
      <c r="E19" s="44"/>
      <c r="F19" s="44"/>
      <c r="G19" s="44"/>
      <c r="H19" s="42"/>
      <c r="I19" s="44"/>
      <c r="J19" s="42"/>
      <c r="K19" s="42"/>
      <c r="L19" s="44"/>
      <c r="M19" s="51"/>
      <c r="N19" s="52"/>
      <c r="O19" s="52"/>
      <c r="P19" s="75"/>
      <c r="Q19" s="58"/>
      <c r="R19" s="44"/>
      <c r="S19" s="53"/>
      <c r="T19" s="58"/>
      <c r="U19" s="58"/>
      <c r="V19" s="44"/>
      <c r="W19" s="44"/>
      <c r="X19" s="44"/>
      <c r="Y19" s="44"/>
      <c r="Z19" s="44"/>
      <c r="AA19" s="44"/>
      <c r="AB19" s="44"/>
    </row>
    <row r="20" spans="1:28" s="35" customFormat="1" hidden="1">
      <c r="A20" s="44"/>
      <c r="B20" s="44"/>
      <c r="C20" s="44"/>
      <c r="D20" s="44"/>
      <c r="E20" s="44"/>
      <c r="F20" s="44"/>
      <c r="G20" s="44"/>
      <c r="H20" s="42"/>
      <c r="I20" s="44"/>
      <c r="J20" s="42"/>
      <c r="K20" s="42"/>
      <c r="L20" s="44"/>
      <c r="M20" s="51"/>
      <c r="N20" s="52"/>
      <c r="O20" s="52"/>
      <c r="P20" s="75"/>
      <c r="Q20" s="58"/>
      <c r="R20" s="44"/>
      <c r="S20" s="53"/>
      <c r="T20" s="58"/>
      <c r="U20" s="58"/>
      <c r="V20" s="44"/>
      <c r="W20" s="44"/>
      <c r="X20" s="44"/>
      <c r="Y20" s="44"/>
      <c r="Z20" s="44"/>
      <c r="AA20" s="44"/>
      <c r="AB20" s="44"/>
    </row>
    <row r="21" spans="1:28" s="35" customFormat="1" hidden="1">
      <c r="A21" s="44"/>
      <c r="B21" s="44"/>
      <c r="C21" s="44"/>
      <c r="D21" s="44"/>
      <c r="E21" s="44"/>
      <c r="F21" s="44"/>
      <c r="G21" s="44"/>
      <c r="H21" s="42"/>
      <c r="I21" s="44"/>
      <c r="J21" s="42"/>
      <c r="K21" s="42"/>
      <c r="L21" s="44"/>
      <c r="M21" s="51"/>
      <c r="N21" s="52"/>
      <c r="O21" s="52"/>
      <c r="P21" s="75"/>
      <c r="Q21" s="58"/>
      <c r="R21" s="44"/>
      <c r="S21" s="53"/>
      <c r="T21" s="58"/>
      <c r="U21" s="58"/>
      <c r="V21" s="44"/>
      <c r="W21" s="44"/>
      <c r="X21" s="44"/>
      <c r="Y21" s="44"/>
      <c r="Z21" s="44"/>
      <c r="AA21" s="44"/>
      <c r="AB21" s="44"/>
    </row>
    <row r="22" spans="1:28" s="35" customFormat="1" hidden="1">
      <c r="A22" s="44"/>
      <c r="B22" s="44"/>
      <c r="C22" s="44"/>
      <c r="D22" s="44"/>
      <c r="E22" s="44"/>
      <c r="F22" s="44"/>
      <c r="G22" s="44"/>
      <c r="H22" s="42"/>
      <c r="I22" s="44"/>
      <c r="J22" s="42"/>
      <c r="K22" s="42"/>
      <c r="L22" s="44"/>
      <c r="M22" s="51"/>
      <c r="N22" s="52"/>
      <c r="O22" s="52"/>
      <c r="P22" s="75"/>
      <c r="Q22" s="58"/>
      <c r="R22" s="44"/>
      <c r="S22" s="53"/>
      <c r="T22" s="58"/>
      <c r="U22" s="58"/>
      <c r="V22" s="44"/>
      <c r="W22" s="44"/>
      <c r="X22" s="44"/>
      <c r="Y22" s="44"/>
      <c r="Z22" s="44"/>
      <c r="AA22" s="44"/>
      <c r="AB22" s="44"/>
    </row>
    <row r="23" spans="1:28" s="35" customFormat="1" hidden="1">
      <c r="A23" s="44"/>
      <c r="B23" s="44"/>
      <c r="C23" s="44"/>
      <c r="D23" s="44"/>
      <c r="E23" s="44"/>
      <c r="F23" s="44"/>
      <c r="G23" s="44"/>
      <c r="H23" s="42"/>
      <c r="I23" s="44"/>
      <c r="J23" s="42"/>
      <c r="K23" s="42"/>
      <c r="L23" s="44"/>
      <c r="M23" s="51"/>
      <c r="N23" s="52"/>
      <c r="O23" s="52"/>
      <c r="P23" s="75"/>
      <c r="Q23" s="58"/>
      <c r="R23" s="44"/>
      <c r="S23" s="53"/>
      <c r="T23" s="58"/>
      <c r="U23" s="58"/>
      <c r="V23" s="44"/>
      <c r="W23" s="44"/>
      <c r="X23" s="44"/>
      <c r="Y23" s="44"/>
      <c r="Z23" s="44"/>
      <c r="AA23" s="44"/>
      <c r="AB23" s="44"/>
    </row>
    <row r="24" spans="1:28" s="35" customFormat="1" hidden="1">
      <c r="A24" s="44"/>
      <c r="B24" s="44"/>
      <c r="C24" s="44"/>
      <c r="D24" s="44"/>
      <c r="E24" s="44"/>
      <c r="F24" s="44"/>
      <c r="G24" s="44"/>
      <c r="H24" s="42"/>
      <c r="I24" s="44"/>
      <c r="J24" s="42"/>
      <c r="K24" s="42"/>
      <c r="L24" s="44"/>
      <c r="M24" s="51"/>
      <c r="N24" s="52"/>
      <c r="O24" s="52"/>
      <c r="P24" s="75"/>
      <c r="Q24" s="58"/>
      <c r="R24" s="44"/>
      <c r="S24" s="53"/>
      <c r="T24" s="58"/>
      <c r="U24" s="58"/>
      <c r="V24" s="44"/>
      <c r="W24" s="44"/>
      <c r="X24" s="44"/>
      <c r="Y24" s="44"/>
      <c r="Z24" s="44"/>
      <c r="AA24" s="44"/>
      <c r="AB24" s="44"/>
    </row>
    <row r="25" spans="1:28" s="35" customFormat="1" hidden="1">
      <c r="A25" s="44"/>
      <c r="B25" s="44"/>
      <c r="C25" s="44"/>
      <c r="D25" s="44"/>
      <c r="E25" s="44"/>
      <c r="F25" s="44"/>
      <c r="G25" s="44"/>
      <c r="H25" s="42"/>
      <c r="I25" s="44"/>
      <c r="J25" s="42"/>
      <c r="K25" s="42"/>
      <c r="L25" s="44"/>
      <c r="M25" s="51"/>
      <c r="N25" s="52"/>
      <c r="O25" s="52"/>
      <c r="P25" s="75"/>
      <c r="Q25" s="58"/>
      <c r="R25" s="44"/>
      <c r="S25" s="53"/>
      <c r="T25" s="58"/>
      <c r="U25" s="58"/>
      <c r="V25" s="44"/>
      <c r="W25" s="44"/>
      <c r="X25" s="44"/>
      <c r="Y25" s="44"/>
      <c r="Z25" s="44"/>
      <c r="AA25" s="44"/>
      <c r="AB25" s="44"/>
    </row>
    <row r="26" spans="1:28" s="34" customFormat="1" ht="84" hidden="1" customHeight="1">
      <c r="A26" s="43"/>
      <c r="B26" s="43"/>
      <c r="C26" s="43"/>
      <c r="D26" s="43"/>
      <c r="E26" s="43"/>
      <c r="F26" s="43"/>
      <c r="G26" s="43"/>
      <c r="H26" s="71"/>
      <c r="I26" s="43"/>
      <c r="J26" s="71"/>
      <c r="K26" s="71"/>
      <c r="L26" s="43"/>
      <c r="M26" s="49"/>
      <c r="N26" s="50"/>
      <c r="O26" s="50"/>
      <c r="P26" s="76"/>
      <c r="Q26" s="55"/>
      <c r="R26" s="43"/>
      <c r="S26" s="43"/>
      <c r="T26" s="43"/>
      <c r="U26" s="56"/>
      <c r="V26" s="50"/>
      <c r="W26" s="43"/>
      <c r="X26" s="57"/>
      <c r="Y26" s="43"/>
      <c r="Z26" s="43"/>
      <c r="AA26" s="43"/>
      <c r="AB26" s="43"/>
    </row>
    <row r="27" spans="1:28" s="35" customFormat="1" hidden="1">
      <c r="A27" s="44"/>
      <c r="B27" s="44"/>
      <c r="C27" s="44"/>
      <c r="D27" s="44"/>
      <c r="E27" s="44"/>
      <c r="F27" s="44"/>
      <c r="G27" s="44"/>
      <c r="H27" s="42"/>
      <c r="I27" s="44"/>
      <c r="J27" s="42"/>
      <c r="K27" s="42"/>
      <c r="L27" s="44"/>
      <c r="M27" s="51"/>
      <c r="N27" s="52"/>
      <c r="O27" s="52"/>
      <c r="P27" s="75"/>
      <c r="Q27" s="58"/>
      <c r="R27" s="44"/>
      <c r="S27" s="53"/>
      <c r="T27" s="58">
        <f>(S27-N26)/360*$U$26*$K$26</f>
        <v>0</v>
      </c>
      <c r="U27" s="58">
        <f>T27-Q27</f>
        <v>0</v>
      </c>
      <c r="V27" s="52"/>
      <c r="W27" s="44"/>
      <c r="X27" s="44"/>
      <c r="Y27" s="62">
        <f>ROUNDUP((V27-N26)*K26*X26/365,2)</f>
        <v>0</v>
      </c>
      <c r="Z27" s="44"/>
      <c r="AA27" s="44"/>
      <c r="AB27" s="44"/>
    </row>
    <row r="28" spans="1:28" s="35" customFormat="1" hidden="1">
      <c r="A28" s="44"/>
      <c r="B28" s="44"/>
      <c r="C28" s="44"/>
      <c r="D28" s="44"/>
      <c r="E28" s="44"/>
      <c r="F28" s="44"/>
      <c r="G28" s="44"/>
      <c r="H28" s="42"/>
      <c r="I28" s="44"/>
      <c r="J28" s="42"/>
      <c r="K28" s="42"/>
      <c r="L28" s="44"/>
      <c r="M28" s="51"/>
      <c r="N28" s="52"/>
      <c r="O28" s="52"/>
      <c r="P28" s="75"/>
      <c r="Q28" s="58"/>
      <c r="R28" s="44"/>
      <c r="S28" s="53"/>
      <c r="T28" s="58">
        <f>(S28-S27)*$U$26*$K$26/360</f>
        <v>0</v>
      </c>
      <c r="U28" s="58">
        <f>T28-Q28</f>
        <v>0</v>
      </c>
      <c r="V28" s="44"/>
      <c r="W28" s="44"/>
      <c r="X28" s="44"/>
      <c r="Y28" s="62">
        <f>ROUNDUP((O26-V27+1)*(K26-W27)*X26/365,2)</f>
        <v>0</v>
      </c>
      <c r="Z28" s="44"/>
      <c r="AA28" s="44"/>
      <c r="AB28" s="44"/>
    </row>
    <row r="29" spans="1:28" s="35" customFormat="1" hidden="1">
      <c r="A29" s="44"/>
      <c r="B29" s="44"/>
      <c r="C29" s="44"/>
      <c r="D29" s="44"/>
      <c r="E29" s="44"/>
      <c r="F29" s="44"/>
      <c r="G29" s="44"/>
      <c r="H29" s="42"/>
      <c r="I29" s="44"/>
      <c r="J29" s="42"/>
      <c r="K29" s="42"/>
      <c r="L29" s="44"/>
      <c r="M29" s="51"/>
      <c r="N29" s="52"/>
      <c r="O29" s="52"/>
      <c r="P29" s="75"/>
      <c r="Q29" s="58"/>
      <c r="R29" s="44"/>
      <c r="S29" s="53"/>
      <c r="T29" s="58">
        <f>(S29-S28)*$U$26*$K$26/360</f>
        <v>0</v>
      </c>
      <c r="U29" s="58">
        <f>T29-Q29</f>
        <v>0</v>
      </c>
      <c r="V29" s="44"/>
      <c r="W29" s="44"/>
      <c r="X29" s="44"/>
      <c r="Y29" s="44"/>
      <c r="Z29" s="44"/>
      <c r="AA29" s="44"/>
      <c r="AB29" s="44"/>
    </row>
    <row r="30" spans="1:28" s="35" customFormat="1" hidden="1">
      <c r="A30" s="44"/>
      <c r="B30" s="44"/>
      <c r="C30" s="44"/>
      <c r="D30" s="44"/>
      <c r="E30" s="44"/>
      <c r="F30" s="44"/>
      <c r="G30" s="44"/>
      <c r="H30" s="42"/>
      <c r="I30" s="44"/>
      <c r="J30" s="42"/>
      <c r="K30" s="42"/>
      <c r="L30" s="44"/>
      <c r="M30" s="51"/>
      <c r="N30" s="52"/>
      <c r="O30" s="52"/>
      <c r="P30" s="75"/>
      <c r="Q30" s="58"/>
      <c r="R30" s="44"/>
      <c r="S30" s="53"/>
      <c r="T30" s="58">
        <f>(S30-S29)*$U$26*$K$26/360</f>
        <v>0</v>
      </c>
      <c r="U30" s="58">
        <f>T30-Q30</f>
        <v>0</v>
      </c>
      <c r="V30" s="44"/>
      <c r="W30" s="44"/>
      <c r="X30" s="44"/>
      <c r="Y30" s="44"/>
      <c r="Z30" s="44"/>
      <c r="AA30" s="44"/>
      <c r="AB30" s="44"/>
    </row>
    <row r="31" spans="1:28" s="35" customFormat="1" hidden="1">
      <c r="A31" s="44"/>
      <c r="B31" s="44"/>
      <c r="C31" s="44"/>
      <c r="D31" s="44"/>
      <c r="E31" s="44"/>
      <c r="F31" s="44"/>
      <c r="G31" s="44"/>
      <c r="H31" s="42"/>
      <c r="I31" s="44"/>
      <c r="J31" s="42"/>
      <c r="K31" s="42"/>
      <c r="L31" s="44"/>
      <c r="M31" s="51"/>
      <c r="N31" s="52"/>
      <c r="O31" s="52"/>
      <c r="P31" s="75"/>
      <c r="Q31" s="58"/>
      <c r="R31" s="44"/>
      <c r="S31" s="53"/>
      <c r="T31" s="58">
        <f>(S31-S30)*$U$26*$K$26/360</f>
        <v>0</v>
      </c>
      <c r="U31" s="58">
        <f>T31-Q31</f>
        <v>0</v>
      </c>
      <c r="V31" s="44"/>
      <c r="W31" s="44"/>
      <c r="X31" s="44"/>
      <c r="Y31" s="44"/>
      <c r="Z31" s="44"/>
      <c r="AA31" s="44"/>
      <c r="AB31" s="44"/>
    </row>
    <row r="32" spans="1:28" s="35" customFormat="1" hidden="1">
      <c r="A32" s="44"/>
      <c r="B32" s="44"/>
      <c r="C32" s="44"/>
      <c r="D32" s="44"/>
      <c r="E32" s="44"/>
      <c r="F32" s="44"/>
      <c r="G32" s="44"/>
      <c r="H32" s="42"/>
      <c r="I32" s="44"/>
      <c r="J32" s="42"/>
      <c r="K32" s="42"/>
      <c r="L32" s="44"/>
      <c r="M32" s="51"/>
      <c r="N32" s="52"/>
      <c r="O32" s="52"/>
      <c r="P32" s="75"/>
      <c r="Q32" s="58"/>
      <c r="R32" s="44"/>
      <c r="S32" s="53"/>
      <c r="T32" s="58"/>
      <c r="U32" s="58"/>
      <c r="V32" s="44"/>
      <c r="W32" s="44"/>
      <c r="X32" s="44"/>
      <c r="Y32" s="44"/>
      <c r="Z32" s="44"/>
      <c r="AA32" s="44"/>
      <c r="AB32" s="44"/>
    </row>
    <row r="33" spans="1:28" s="35" customFormat="1" hidden="1">
      <c r="A33" s="44"/>
      <c r="B33" s="44"/>
      <c r="C33" s="44"/>
      <c r="D33" s="44"/>
      <c r="E33" s="44"/>
      <c r="F33" s="44"/>
      <c r="G33" s="44"/>
      <c r="H33" s="42"/>
      <c r="I33" s="44"/>
      <c r="J33" s="42"/>
      <c r="K33" s="42"/>
      <c r="L33" s="44"/>
      <c r="M33" s="51"/>
      <c r="N33" s="52"/>
      <c r="O33" s="52"/>
      <c r="P33" s="75"/>
      <c r="Q33" s="58"/>
      <c r="R33" s="44"/>
      <c r="S33" s="53"/>
      <c r="T33" s="58"/>
      <c r="U33" s="58"/>
      <c r="V33" s="44"/>
      <c r="W33" s="44"/>
      <c r="X33" s="44"/>
      <c r="Y33" s="44"/>
      <c r="Z33" s="44"/>
      <c r="AA33" s="44"/>
      <c r="AB33" s="44"/>
    </row>
    <row r="34" spans="1:28" s="35" customFormat="1" hidden="1">
      <c r="A34" s="44"/>
      <c r="B34" s="44"/>
      <c r="C34" s="44"/>
      <c r="D34" s="44"/>
      <c r="E34" s="44"/>
      <c r="F34" s="44"/>
      <c r="G34" s="44"/>
      <c r="H34" s="42"/>
      <c r="I34" s="44"/>
      <c r="J34" s="42"/>
      <c r="K34" s="42"/>
      <c r="L34" s="44"/>
      <c r="M34" s="51"/>
      <c r="N34" s="52"/>
      <c r="O34" s="52"/>
      <c r="P34" s="75"/>
      <c r="Q34" s="58"/>
      <c r="R34" s="44"/>
      <c r="S34" s="53"/>
      <c r="T34" s="58"/>
      <c r="U34" s="58"/>
      <c r="V34" s="44"/>
      <c r="W34" s="44"/>
      <c r="X34" s="44"/>
      <c r="Y34" s="44"/>
      <c r="Z34" s="44"/>
      <c r="AA34" s="44"/>
      <c r="AB34" s="44"/>
    </row>
    <row r="35" spans="1:28" s="35" customFormat="1" hidden="1">
      <c r="A35" s="44"/>
      <c r="B35" s="44"/>
      <c r="C35" s="44"/>
      <c r="D35" s="44"/>
      <c r="E35" s="44"/>
      <c r="F35" s="44"/>
      <c r="G35" s="44"/>
      <c r="H35" s="42"/>
      <c r="I35" s="44"/>
      <c r="J35" s="42"/>
      <c r="K35" s="42"/>
      <c r="L35" s="44"/>
      <c r="M35" s="51"/>
      <c r="N35" s="52"/>
      <c r="O35" s="52"/>
      <c r="P35" s="75"/>
      <c r="Q35" s="58"/>
      <c r="R35" s="44"/>
      <c r="S35" s="53"/>
      <c r="T35" s="58"/>
      <c r="U35" s="58"/>
      <c r="V35" s="44"/>
      <c r="W35" s="44"/>
      <c r="X35" s="44"/>
      <c r="Y35" s="44"/>
      <c r="Z35" s="44"/>
      <c r="AA35" s="44"/>
      <c r="AB35" s="44"/>
    </row>
    <row r="36" spans="1:28" s="35" customFormat="1" hidden="1">
      <c r="A36" s="44"/>
      <c r="B36" s="44"/>
      <c r="C36" s="44"/>
      <c r="D36" s="44"/>
      <c r="E36" s="44"/>
      <c r="F36" s="44"/>
      <c r="G36" s="44"/>
      <c r="H36" s="42"/>
      <c r="I36" s="44"/>
      <c r="J36" s="42"/>
      <c r="K36" s="42"/>
      <c r="L36" s="44"/>
      <c r="M36" s="51"/>
      <c r="N36" s="52"/>
      <c r="O36" s="52"/>
      <c r="P36" s="75"/>
      <c r="Q36" s="58"/>
      <c r="R36" s="44"/>
      <c r="S36" s="53"/>
      <c r="T36" s="58"/>
      <c r="U36" s="58"/>
      <c r="V36" s="44"/>
      <c r="W36" s="44"/>
      <c r="X36" s="44"/>
      <c r="Y36" s="44"/>
      <c r="Z36" s="44"/>
      <c r="AA36" s="44"/>
      <c r="AB36" s="44"/>
    </row>
    <row r="37" spans="1:28" s="35" customFormat="1" hidden="1">
      <c r="A37" s="44"/>
      <c r="B37" s="44"/>
      <c r="C37" s="44"/>
      <c r="D37" s="44"/>
      <c r="E37" s="44"/>
      <c r="F37" s="44"/>
      <c r="G37" s="44"/>
      <c r="H37" s="42"/>
      <c r="I37" s="44"/>
      <c r="J37" s="42"/>
      <c r="K37" s="42"/>
      <c r="L37" s="44"/>
      <c r="M37" s="51"/>
      <c r="N37" s="52"/>
      <c r="O37" s="52"/>
      <c r="P37" s="75"/>
      <c r="Q37" s="58"/>
      <c r="R37" s="44"/>
      <c r="S37" s="53"/>
      <c r="T37" s="58"/>
      <c r="U37" s="58"/>
      <c r="V37" s="44"/>
      <c r="W37" s="44"/>
      <c r="X37" s="44"/>
      <c r="Y37" s="44"/>
      <c r="Z37" s="44"/>
      <c r="AA37" s="44"/>
      <c r="AB37" s="44"/>
    </row>
    <row r="38" spans="1:28" s="35" customFormat="1" hidden="1">
      <c r="A38" s="44"/>
      <c r="B38" s="44"/>
      <c r="C38" s="44"/>
      <c r="D38" s="44"/>
      <c r="E38" s="44"/>
      <c r="F38" s="44"/>
      <c r="G38" s="44"/>
      <c r="H38" s="42"/>
      <c r="I38" s="44"/>
      <c r="J38" s="42"/>
      <c r="K38" s="42"/>
      <c r="L38" s="44"/>
      <c r="M38" s="51"/>
      <c r="N38" s="52"/>
      <c r="O38" s="52"/>
      <c r="P38" s="75"/>
      <c r="Q38" s="58"/>
      <c r="R38" s="44"/>
      <c r="S38" s="53"/>
      <c r="T38" s="58"/>
      <c r="U38" s="58"/>
      <c r="V38" s="44"/>
      <c r="W38" s="44"/>
      <c r="X38" s="44"/>
      <c r="Y38" s="44"/>
      <c r="Z38" s="44"/>
      <c r="AA38" s="44"/>
      <c r="AB38" s="44"/>
    </row>
    <row r="39" spans="1:28" s="35" customFormat="1" hidden="1">
      <c r="A39" s="44"/>
      <c r="B39" s="44"/>
      <c r="C39" s="44"/>
      <c r="D39" s="44"/>
      <c r="E39" s="44"/>
      <c r="F39" s="44"/>
      <c r="G39" s="44"/>
      <c r="H39" s="42"/>
      <c r="I39" s="44"/>
      <c r="J39" s="42"/>
      <c r="K39" s="42"/>
      <c r="L39" s="44"/>
      <c r="M39" s="51"/>
      <c r="N39" s="52"/>
      <c r="O39" s="52"/>
      <c r="P39" s="75"/>
      <c r="Q39" s="58"/>
      <c r="R39" s="44"/>
      <c r="S39" s="53"/>
      <c r="T39" s="58"/>
      <c r="U39" s="58"/>
      <c r="V39" s="44"/>
      <c r="W39" s="44"/>
      <c r="X39" s="44"/>
      <c r="Y39" s="44"/>
      <c r="Z39" s="44"/>
      <c r="AA39" s="44"/>
      <c r="AB39" s="44"/>
    </row>
    <row r="40" spans="1:28" s="35" customFormat="1" hidden="1">
      <c r="A40" s="44"/>
      <c r="B40" s="44"/>
      <c r="C40" s="44"/>
      <c r="D40" s="44"/>
      <c r="E40" s="44"/>
      <c r="F40" s="44"/>
      <c r="G40" s="44"/>
      <c r="H40" s="42"/>
      <c r="I40" s="44"/>
      <c r="J40" s="42"/>
      <c r="K40" s="42"/>
      <c r="L40" s="44"/>
      <c r="M40" s="51"/>
      <c r="N40" s="52"/>
      <c r="O40" s="52"/>
      <c r="P40" s="75"/>
      <c r="Q40" s="58"/>
      <c r="R40" s="44"/>
      <c r="S40" s="53"/>
      <c r="T40" s="58"/>
      <c r="U40" s="58"/>
      <c r="V40" s="44"/>
      <c r="W40" s="44"/>
      <c r="X40" s="44"/>
      <c r="Y40" s="44"/>
      <c r="Z40" s="44"/>
      <c r="AA40" s="44"/>
      <c r="AB40" s="44"/>
    </row>
    <row r="41" spans="1:28" s="35" customFormat="1" hidden="1">
      <c r="A41" s="44"/>
      <c r="B41" s="44"/>
      <c r="C41" s="44"/>
      <c r="D41" s="44"/>
      <c r="E41" s="44"/>
      <c r="F41" s="44"/>
      <c r="G41" s="44"/>
      <c r="H41" s="42"/>
      <c r="I41" s="44"/>
      <c r="J41" s="42"/>
      <c r="K41" s="42"/>
      <c r="L41" s="44"/>
      <c r="M41" s="51"/>
      <c r="N41" s="52"/>
      <c r="O41" s="52"/>
      <c r="P41" s="75"/>
      <c r="Q41" s="58"/>
      <c r="R41" s="44"/>
      <c r="S41" s="53"/>
      <c r="T41" s="58"/>
      <c r="U41" s="58"/>
      <c r="V41" s="44"/>
      <c r="W41" s="44"/>
      <c r="X41" s="44"/>
      <c r="Y41" s="44"/>
      <c r="Z41" s="44"/>
      <c r="AA41" s="44"/>
      <c r="AB41" s="44"/>
    </row>
    <row r="42" spans="1:28" s="35" customFormat="1" hidden="1">
      <c r="A42" s="44"/>
      <c r="B42" s="44"/>
      <c r="C42" s="44"/>
      <c r="D42" s="44"/>
      <c r="E42" s="44"/>
      <c r="F42" s="44"/>
      <c r="G42" s="44"/>
      <c r="H42" s="42"/>
      <c r="I42" s="44"/>
      <c r="J42" s="42"/>
      <c r="K42" s="42"/>
      <c r="L42" s="44"/>
      <c r="M42" s="51"/>
      <c r="N42" s="52"/>
      <c r="O42" s="52"/>
      <c r="P42" s="75"/>
      <c r="Q42" s="58"/>
      <c r="R42" s="44"/>
      <c r="S42" s="53"/>
      <c r="T42" s="58"/>
      <c r="U42" s="58"/>
      <c r="V42" s="44"/>
      <c r="W42" s="44"/>
      <c r="X42" s="44"/>
      <c r="Y42" s="44"/>
      <c r="Z42" s="44"/>
      <c r="AA42" s="44"/>
      <c r="AB42" s="44"/>
    </row>
    <row r="43" spans="1:28" s="35" customFormat="1" hidden="1">
      <c r="A43" s="44"/>
      <c r="B43" s="44"/>
      <c r="C43" s="44"/>
      <c r="D43" s="44"/>
      <c r="E43" s="44"/>
      <c r="F43" s="44"/>
      <c r="G43" s="44"/>
      <c r="H43" s="42"/>
      <c r="I43" s="44"/>
      <c r="J43" s="42"/>
      <c r="K43" s="42"/>
      <c r="L43" s="44"/>
      <c r="M43" s="51"/>
      <c r="N43" s="52"/>
      <c r="O43" s="52"/>
      <c r="P43" s="75"/>
      <c r="Q43" s="58"/>
      <c r="R43" s="44"/>
      <c r="S43" s="53"/>
      <c r="T43" s="58"/>
      <c r="U43" s="58"/>
      <c r="V43" s="44"/>
      <c r="W43" s="44"/>
      <c r="X43" s="44"/>
      <c r="Y43" s="44"/>
      <c r="Z43" s="44"/>
      <c r="AA43" s="44"/>
      <c r="AB43" s="44"/>
    </row>
    <row r="44" spans="1:28" s="35" customFormat="1" hidden="1">
      <c r="A44" s="44"/>
      <c r="B44" s="44"/>
      <c r="C44" s="44"/>
      <c r="D44" s="44"/>
      <c r="E44" s="44"/>
      <c r="F44" s="44"/>
      <c r="G44" s="44"/>
      <c r="H44" s="42"/>
      <c r="I44" s="44"/>
      <c r="J44" s="42"/>
      <c r="K44" s="42"/>
      <c r="L44" s="44"/>
      <c r="M44" s="51"/>
      <c r="N44" s="52"/>
      <c r="O44" s="52"/>
      <c r="P44" s="75"/>
      <c r="Q44" s="58"/>
      <c r="R44" s="44"/>
      <c r="S44" s="53"/>
      <c r="T44" s="58"/>
      <c r="U44" s="58"/>
      <c r="V44" s="44"/>
      <c r="W44" s="44"/>
      <c r="X44" s="44"/>
      <c r="Y44" s="44"/>
      <c r="Z44" s="44"/>
      <c r="AA44" s="44"/>
      <c r="AB44" s="44"/>
    </row>
    <row r="45" spans="1:28" s="35" customFormat="1" hidden="1">
      <c r="A45" s="44"/>
      <c r="B45" s="44"/>
      <c r="C45" s="44"/>
      <c r="D45" s="44"/>
      <c r="E45" s="44"/>
      <c r="F45" s="44"/>
      <c r="G45" s="44"/>
      <c r="H45" s="42"/>
      <c r="I45" s="44"/>
      <c r="J45" s="42"/>
      <c r="K45" s="42"/>
      <c r="L45" s="44"/>
      <c r="M45" s="51"/>
      <c r="N45" s="52"/>
      <c r="O45" s="52"/>
      <c r="P45" s="75"/>
      <c r="Q45" s="58"/>
      <c r="R45" s="44"/>
      <c r="S45" s="53"/>
      <c r="T45" s="58"/>
      <c r="U45" s="58"/>
      <c r="V45" s="44"/>
      <c r="W45" s="44"/>
      <c r="X45" s="44"/>
      <c r="Y45" s="44"/>
      <c r="Z45" s="44"/>
      <c r="AA45" s="44"/>
      <c r="AB45" s="44"/>
    </row>
    <row r="46" spans="1:28" s="35" customFormat="1" hidden="1">
      <c r="A46" s="44"/>
      <c r="B46" s="44"/>
      <c r="C46" s="44"/>
      <c r="D46" s="44"/>
      <c r="E46" s="44"/>
      <c r="F46" s="44"/>
      <c r="G46" s="44"/>
      <c r="H46" s="42"/>
      <c r="I46" s="44"/>
      <c r="J46" s="42"/>
      <c r="K46" s="42"/>
      <c r="L46" s="44"/>
      <c r="M46" s="51"/>
      <c r="N46" s="52"/>
      <c r="O46" s="52"/>
      <c r="P46" s="75"/>
      <c r="Q46" s="58"/>
      <c r="R46" s="44"/>
      <c r="S46" s="53"/>
      <c r="T46" s="58"/>
      <c r="U46" s="58"/>
      <c r="V46" s="44"/>
      <c r="W46" s="44"/>
      <c r="X46" s="44"/>
      <c r="Y46" s="44"/>
      <c r="Z46" s="44"/>
      <c r="AA46" s="44"/>
      <c r="AB46" s="44"/>
    </row>
    <row r="47" spans="1:28" s="35" customFormat="1" hidden="1">
      <c r="A47" s="44"/>
      <c r="B47" s="44"/>
      <c r="C47" s="44"/>
      <c r="D47" s="44"/>
      <c r="E47" s="44"/>
      <c r="F47" s="44"/>
      <c r="G47" s="44"/>
      <c r="H47" s="42"/>
      <c r="I47" s="44"/>
      <c r="J47" s="42"/>
      <c r="K47" s="42"/>
      <c r="L47" s="44"/>
      <c r="M47" s="51"/>
      <c r="N47" s="52"/>
      <c r="O47" s="52"/>
      <c r="P47" s="75"/>
      <c r="Q47" s="58"/>
      <c r="R47" s="44"/>
      <c r="S47" s="53"/>
      <c r="T47" s="58"/>
      <c r="U47" s="58"/>
      <c r="V47" s="44"/>
      <c r="W47" s="44"/>
      <c r="X47" s="44"/>
      <c r="Y47" s="44"/>
      <c r="Z47" s="44"/>
      <c r="AA47" s="44"/>
      <c r="AB47" s="44"/>
    </row>
    <row r="48" spans="1:28" s="34" customFormat="1" ht="56" hidden="1">
      <c r="A48" s="43">
        <v>3</v>
      </c>
      <c r="B48" s="43">
        <f t="shared" ref="B48:G48" si="3">B26</f>
        <v>0</v>
      </c>
      <c r="C48" s="43">
        <f t="shared" si="3"/>
        <v>0</v>
      </c>
      <c r="D48" s="43">
        <f t="shared" si="3"/>
        <v>0</v>
      </c>
      <c r="E48" s="43">
        <f t="shared" si="3"/>
        <v>0</v>
      </c>
      <c r="F48" s="43">
        <f t="shared" si="3"/>
        <v>0</v>
      </c>
      <c r="G48" s="43">
        <f t="shared" si="3"/>
        <v>0</v>
      </c>
      <c r="H48" s="71" t="s">
        <v>65</v>
      </c>
      <c r="I48" s="43" t="s">
        <v>57</v>
      </c>
      <c r="J48" s="71" t="s">
        <v>66</v>
      </c>
      <c r="K48" s="71"/>
      <c r="L48" s="43"/>
      <c r="M48" s="49"/>
      <c r="N48" s="50"/>
      <c r="O48" s="50"/>
      <c r="P48" s="76"/>
      <c r="Q48" s="55">
        <f>SUM(Q49:Q69)</f>
        <v>0</v>
      </c>
      <c r="R48" s="43"/>
      <c r="S48" s="43"/>
      <c r="T48" s="43">
        <f>SUM(T49:T69)</f>
        <v>0</v>
      </c>
      <c r="U48" s="56"/>
      <c r="V48" s="50"/>
      <c r="W48" s="43"/>
      <c r="X48" s="57"/>
      <c r="Y48" s="43">
        <f>ROUNDUP(IF((O48-N48+1)*K48*X48/365&gt;R48,R48,(O48-N48+1)*K48*X48/365),2)</f>
        <v>0</v>
      </c>
      <c r="Z48" s="63"/>
      <c r="AA48" s="63"/>
      <c r="AB48" s="43"/>
    </row>
    <row r="49" spans="1:28" s="35" customFormat="1" hidden="1">
      <c r="A49" s="44"/>
      <c r="B49" s="44"/>
      <c r="C49" s="44"/>
      <c r="D49" s="44"/>
      <c r="E49" s="44"/>
      <c r="F49" s="44"/>
      <c r="G49" s="44"/>
      <c r="H49" s="42"/>
      <c r="I49" s="44"/>
      <c r="J49" s="42"/>
      <c r="K49" s="42"/>
      <c r="L49" s="44"/>
      <c r="M49" s="51"/>
      <c r="N49" s="52"/>
      <c r="O49" s="52"/>
      <c r="P49" s="75"/>
      <c r="Q49" s="58"/>
      <c r="R49" s="44"/>
      <c r="S49" s="53">
        <f>P49</f>
        <v>0</v>
      </c>
      <c r="T49" s="58">
        <f>(S49-N48)/360*$U$48*$K$48</f>
        <v>0</v>
      </c>
      <c r="U49" s="58">
        <f>T49-Q49</f>
        <v>0</v>
      </c>
      <c r="V49" s="52"/>
      <c r="W49" s="44"/>
      <c r="X49" s="44"/>
      <c r="Y49" s="44"/>
      <c r="Z49" s="44"/>
      <c r="AA49" s="44"/>
      <c r="AB49" s="44"/>
    </row>
    <row r="50" spans="1:28" s="35" customFormat="1" hidden="1">
      <c r="A50" s="44"/>
      <c r="B50" s="44"/>
      <c r="C50" s="44"/>
      <c r="D50" s="44"/>
      <c r="E50" s="44"/>
      <c r="F50" s="44"/>
      <c r="G50" s="44"/>
      <c r="H50" s="42"/>
      <c r="I50" s="44"/>
      <c r="J50" s="42"/>
      <c r="K50" s="42"/>
      <c r="L50" s="44"/>
      <c r="M50" s="51"/>
      <c r="N50" s="52"/>
      <c r="O50" s="52"/>
      <c r="P50" s="75"/>
      <c r="Q50" s="58"/>
      <c r="R50" s="44"/>
      <c r="S50" s="53">
        <f>P50</f>
        <v>0</v>
      </c>
      <c r="T50" s="58">
        <f>(S50-S49)*$U$48*$K$48/360</f>
        <v>0</v>
      </c>
      <c r="U50" s="58">
        <f>T50-Q50</f>
        <v>0</v>
      </c>
      <c r="V50" s="44"/>
      <c r="W50" s="44"/>
      <c r="X50" s="44"/>
      <c r="Y50" s="44"/>
      <c r="Z50" s="44"/>
      <c r="AA50" s="44"/>
      <c r="AB50" s="44"/>
    </row>
    <row r="51" spans="1:28" s="35" customFormat="1" hidden="1">
      <c r="A51" s="44"/>
      <c r="B51" s="44"/>
      <c r="C51" s="44"/>
      <c r="D51" s="44"/>
      <c r="E51" s="44"/>
      <c r="F51" s="44"/>
      <c r="G51" s="44"/>
      <c r="H51" s="42"/>
      <c r="I51" s="44"/>
      <c r="J51" s="42"/>
      <c r="K51" s="42"/>
      <c r="L51" s="44"/>
      <c r="M51" s="51"/>
      <c r="N51" s="52"/>
      <c r="O51" s="52"/>
      <c r="P51" s="75"/>
      <c r="Q51" s="58"/>
      <c r="R51" s="44"/>
      <c r="S51" s="53"/>
      <c r="T51" s="58"/>
      <c r="U51" s="58"/>
      <c r="V51" s="44"/>
      <c r="W51" s="44"/>
      <c r="X51" s="44"/>
      <c r="Y51" s="44"/>
      <c r="Z51" s="44"/>
      <c r="AA51" s="44"/>
      <c r="AB51" s="44"/>
    </row>
    <row r="52" spans="1:28" s="35" customFormat="1" hidden="1">
      <c r="A52" s="44"/>
      <c r="B52" s="44"/>
      <c r="C52" s="44"/>
      <c r="D52" s="44"/>
      <c r="E52" s="44"/>
      <c r="F52" s="44"/>
      <c r="G52" s="44"/>
      <c r="H52" s="42"/>
      <c r="I52" s="44"/>
      <c r="J52" s="42"/>
      <c r="K52" s="42"/>
      <c r="L52" s="44"/>
      <c r="M52" s="51"/>
      <c r="N52" s="52"/>
      <c r="O52" s="52"/>
      <c r="P52" s="75"/>
      <c r="Q52" s="58"/>
      <c r="R52" s="44"/>
      <c r="S52" s="53"/>
      <c r="T52" s="58"/>
      <c r="U52" s="58"/>
      <c r="V52" s="44"/>
      <c r="W52" s="44"/>
      <c r="X52" s="44"/>
      <c r="Y52" s="44"/>
      <c r="Z52" s="44"/>
      <c r="AA52" s="44"/>
      <c r="AB52" s="44"/>
    </row>
    <row r="53" spans="1:28" s="35" customFormat="1" hidden="1">
      <c r="A53" s="44"/>
      <c r="B53" s="44"/>
      <c r="C53" s="44"/>
      <c r="D53" s="44"/>
      <c r="E53" s="44"/>
      <c r="F53" s="44"/>
      <c r="G53" s="44"/>
      <c r="H53" s="42"/>
      <c r="I53" s="44"/>
      <c r="J53" s="42"/>
      <c r="K53" s="42"/>
      <c r="L53" s="44"/>
      <c r="M53" s="51"/>
      <c r="N53" s="52"/>
      <c r="O53" s="52"/>
      <c r="P53" s="75"/>
      <c r="Q53" s="58"/>
      <c r="R53" s="44"/>
      <c r="S53" s="53"/>
      <c r="T53" s="58"/>
      <c r="U53" s="58"/>
      <c r="V53" s="44"/>
      <c r="W53" s="44"/>
      <c r="X53" s="44"/>
      <c r="Y53" s="44"/>
      <c r="Z53" s="44"/>
      <c r="AA53" s="44"/>
      <c r="AB53" s="44"/>
    </row>
    <row r="54" spans="1:28" s="35" customFormat="1" hidden="1">
      <c r="A54" s="44"/>
      <c r="B54" s="44"/>
      <c r="C54" s="44"/>
      <c r="D54" s="44"/>
      <c r="E54" s="44"/>
      <c r="F54" s="44"/>
      <c r="G54" s="44"/>
      <c r="H54" s="42"/>
      <c r="I54" s="44"/>
      <c r="J54" s="42"/>
      <c r="K54" s="42"/>
      <c r="L54" s="44"/>
      <c r="M54" s="51"/>
      <c r="N54" s="52"/>
      <c r="O54" s="52"/>
      <c r="P54" s="75"/>
      <c r="Q54" s="58"/>
      <c r="R54" s="44"/>
      <c r="S54" s="53"/>
      <c r="T54" s="58"/>
      <c r="U54" s="58"/>
      <c r="V54" s="44"/>
      <c r="W54" s="44"/>
      <c r="X54" s="44"/>
      <c r="Y54" s="44"/>
      <c r="Z54" s="44"/>
      <c r="AA54" s="44"/>
      <c r="AB54" s="44"/>
    </row>
    <row r="55" spans="1:28" s="35" customFormat="1" hidden="1">
      <c r="A55" s="44"/>
      <c r="B55" s="44"/>
      <c r="C55" s="44"/>
      <c r="D55" s="44"/>
      <c r="E55" s="44"/>
      <c r="F55" s="44"/>
      <c r="G55" s="44"/>
      <c r="H55" s="42"/>
      <c r="I55" s="44"/>
      <c r="J55" s="42"/>
      <c r="K55" s="42"/>
      <c r="L55" s="44"/>
      <c r="M55" s="51"/>
      <c r="N55" s="52"/>
      <c r="O55" s="52"/>
      <c r="P55" s="75"/>
      <c r="Q55" s="58"/>
      <c r="R55" s="44"/>
      <c r="S55" s="53"/>
      <c r="T55" s="58"/>
      <c r="U55" s="58"/>
      <c r="V55" s="44"/>
      <c r="W55" s="44"/>
      <c r="X55" s="44"/>
      <c r="Y55" s="44"/>
      <c r="Z55" s="44"/>
      <c r="AA55" s="44"/>
      <c r="AB55" s="44"/>
    </row>
    <row r="56" spans="1:28" s="35" customFormat="1" hidden="1">
      <c r="A56" s="44"/>
      <c r="B56" s="44"/>
      <c r="C56" s="44"/>
      <c r="D56" s="44"/>
      <c r="E56" s="44"/>
      <c r="F56" s="44"/>
      <c r="G56" s="44"/>
      <c r="H56" s="42"/>
      <c r="I56" s="44"/>
      <c r="J56" s="42"/>
      <c r="K56" s="42"/>
      <c r="L56" s="44"/>
      <c r="M56" s="51"/>
      <c r="N56" s="52"/>
      <c r="O56" s="52"/>
      <c r="P56" s="75"/>
      <c r="Q56" s="58"/>
      <c r="R56" s="44"/>
      <c r="S56" s="53"/>
      <c r="T56" s="58"/>
      <c r="U56" s="58"/>
      <c r="V56" s="44"/>
      <c r="W56" s="44"/>
      <c r="X56" s="44"/>
      <c r="Y56" s="44"/>
      <c r="Z56" s="44"/>
      <c r="AA56" s="44"/>
      <c r="AB56" s="44"/>
    </row>
    <row r="57" spans="1:28" s="35" customFormat="1" hidden="1">
      <c r="A57" s="44"/>
      <c r="B57" s="44"/>
      <c r="C57" s="44"/>
      <c r="D57" s="44"/>
      <c r="E57" s="44"/>
      <c r="F57" s="44"/>
      <c r="G57" s="44"/>
      <c r="H57" s="42"/>
      <c r="I57" s="44"/>
      <c r="J57" s="42"/>
      <c r="K57" s="42"/>
      <c r="L57" s="44"/>
      <c r="M57" s="51"/>
      <c r="N57" s="52"/>
      <c r="O57" s="52"/>
      <c r="P57" s="75"/>
      <c r="Q57" s="58"/>
      <c r="R57" s="44"/>
      <c r="S57" s="53"/>
      <c r="T57" s="58"/>
      <c r="U57" s="58"/>
      <c r="V57" s="44"/>
      <c r="W57" s="44"/>
      <c r="X57" s="44"/>
      <c r="Y57" s="44"/>
      <c r="Z57" s="44"/>
      <c r="AA57" s="44"/>
      <c r="AB57" s="44"/>
    </row>
    <row r="58" spans="1:28" s="35" customFormat="1" hidden="1">
      <c r="A58" s="44"/>
      <c r="B58" s="44"/>
      <c r="C58" s="44"/>
      <c r="D58" s="44"/>
      <c r="E58" s="44"/>
      <c r="F58" s="44"/>
      <c r="G58" s="44"/>
      <c r="H58" s="42"/>
      <c r="I58" s="44"/>
      <c r="J58" s="42"/>
      <c r="K58" s="42"/>
      <c r="L58" s="44"/>
      <c r="M58" s="51"/>
      <c r="N58" s="52"/>
      <c r="O58" s="52"/>
      <c r="P58" s="75"/>
      <c r="Q58" s="58"/>
      <c r="R58" s="44"/>
      <c r="S58" s="53"/>
      <c r="T58" s="58"/>
      <c r="U58" s="58"/>
      <c r="V58" s="44"/>
      <c r="W58" s="44"/>
      <c r="X58" s="44"/>
      <c r="Y58" s="44"/>
      <c r="Z58" s="44"/>
      <c r="AA58" s="44"/>
      <c r="AB58" s="44"/>
    </row>
    <row r="59" spans="1:28" s="35" customFormat="1" hidden="1">
      <c r="A59" s="44"/>
      <c r="B59" s="44"/>
      <c r="C59" s="44"/>
      <c r="D59" s="44"/>
      <c r="E59" s="44"/>
      <c r="F59" s="44"/>
      <c r="G59" s="44"/>
      <c r="H59" s="42"/>
      <c r="I59" s="44"/>
      <c r="J59" s="42"/>
      <c r="K59" s="42"/>
      <c r="L59" s="44"/>
      <c r="M59" s="51"/>
      <c r="N59" s="52"/>
      <c r="O59" s="52"/>
      <c r="P59" s="75"/>
      <c r="Q59" s="58"/>
      <c r="R59" s="44"/>
      <c r="S59" s="53"/>
      <c r="T59" s="58"/>
      <c r="U59" s="58"/>
      <c r="V59" s="44"/>
      <c r="W59" s="44"/>
      <c r="X59" s="44"/>
      <c r="Y59" s="44"/>
      <c r="Z59" s="44"/>
      <c r="AA59" s="44"/>
      <c r="AB59" s="44"/>
    </row>
    <row r="60" spans="1:28" s="35" customFormat="1" hidden="1">
      <c r="A60" s="44"/>
      <c r="B60" s="44"/>
      <c r="C60" s="44"/>
      <c r="D60" s="44"/>
      <c r="E60" s="44"/>
      <c r="F60" s="44"/>
      <c r="G60" s="44"/>
      <c r="H60" s="42"/>
      <c r="I60" s="44"/>
      <c r="J60" s="42"/>
      <c r="K60" s="42"/>
      <c r="L60" s="44"/>
      <c r="M60" s="51"/>
      <c r="N60" s="52"/>
      <c r="O60" s="52"/>
      <c r="P60" s="75"/>
      <c r="Q60" s="58"/>
      <c r="R60" s="44"/>
      <c r="S60" s="53"/>
      <c r="T60" s="58"/>
      <c r="U60" s="58"/>
      <c r="V60" s="44"/>
      <c r="W60" s="44"/>
      <c r="X60" s="44"/>
      <c r="Y60" s="44"/>
      <c r="Z60" s="44"/>
      <c r="AA60" s="44"/>
      <c r="AB60" s="44"/>
    </row>
    <row r="61" spans="1:28" s="35" customFormat="1" hidden="1">
      <c r="A61" s="44"/>
      <c r="B61" s="44"/>
      <c r="C61" s="44"/>
      <c r="D61" s="44"/>
      <c r="E61" s="44"/>
      <c r="F61" s="44"/>
      <c r="G61" s="44"/>
      <c r="H61" s="42"/>
      <c r="I61" s="44"/>
      <c r="J61" s="42"/>
      <c r="K61" s="42"/>
      <c r="L61" s="44"/>
      <c r="M61" s="51"/>
      <c r="N61" s="52"/>
      <c r="O61" s="52"/>
      <c r="P61" s="75"/>
      <c r="Q61" s="58"/>
      <c r="R61" s="44"/>
      <c r="S61" s="53"/>
      <c r="T61" s="58"/>
      <c r="U61" s="58"/>
      <c r="V61" s="44"/>
      <c r="W61" s="44"/>
      <c r="X61" s="44"/>
      <c r="Y61" s="44"/>
      <c r="Z61" s="44"/>
      <c r="AA61" s="44"/>
      <c r="AB61" s="44"/>
    </row>
    <row r="62" spans="1:28" s="35" customFormat="1" hidden="1">
      <c r="A62" s="44"/>
      <c r="B62" s="44"/>
      <c r="C62" s="44"/>
      <c r="D62" s="44"/>
      <c r="E62" s="44"/>
      <c r="F62" s="44"/>
      <c r="G62" s="44"/>
      <c r="H62" s="42"/>
      <c r="I62" s="44"/>
      <c r="J62" s="42"/>
      <c r="K62" s="42"/>
      <c r="L62" s="44"/>
      <c r="M62" s="51"/>
      <c r="N62" s="52"/>
      <c r="O62" s="52"/>
      <c r="P62" s="75"/>
      <c r="Q62" s="58"/>
      <c r="R62" s="44"/>
      <c r="S62" s="53"/>
      <c r="T62" s="58"/>
      <c r="U62" s="58"/>
      <c r="V62" s="44"/>
      <c r="W62" s="44"/>
      <c r="X62" s="44"/>
      <c r="Y62" s="44"/>
      <c r="Z62" s="44"/>
      <c r="AA62" s="44"/>
      <c r="AB62" s="44"/>
    </row>
    <row r="63" spans="1:28" s="35" customFormat="1" hidden="1">
      <c r="A63" s="44"/>
      <c r="B63" s="44"/>
      <c r="C63" s="44"/>
      <c r="D63" s="44"/>
      <c r="E63" s="44"/>
      <c r="F63" s="44"/>
      <c r="G63" s="44"/>
      <c r="H63" s="42"/>
      <c r="I63" s="44"/>
      <c r="J63" s="42"/>
      <c r="K63" s="42"/>
      <c r="L63" s="44"/>
      <c r="M63" s="51"/>
      <c r="N63" s="52"/>
      <c r="O63" s="52"/>
      <c r="P63" s="75"/>
      <c r="Q63" s="58"/>
      <c r="R63" s="44"/>
      <c r="S63" s="53"/>
      <c r="T63" s="58"/>
      <c r="U63" s="58"/>
      <c r="V63" s="44"/>
      <c r="W63" s="44"/>
      <c r="X63" s="44"/>
      <c r="Y63" s="44"/>
      <c r="Z63" s="44"/>
      <c r="AA63" s="44"/>
      <c r="AB63" s="44"/>
    </row>
    <row r="64" spans="1:28" s="35" customFormat="1" hidden="1">
      <c r="A64" s="44"/>
      <c r="B64" s="44"/>
      <c r="C64" s="44"/>
      <c r="D64" s="44"/>
      <c r="E64" s="44"/>
      <c r="F64" s="44"/>
      <c r="G64" s="44"/>
      <c r="H64" s="42"/>
      <c r="I64" s="44"/>
      <c r="J64" s="42"/>
      <c r="K64" s="42"/>
      <c r="L64" s="44"/>
      <c r="M64" s="51"/>
      <c r="N64" s="52"/>
      <c r="O64" s="52"/>
      <c r="P64" s="75"/>
      <c r="Q64" s="58"/>
      <c r="R64" s="44"/>
      <c r="S64" s="53"/>
      <c r="T64" s="58"/>
      <c r="U64" s="58"/>
      <c r="V64" s="44"/>
      <c r="W64" s="44"/>
      <c r="X64" s="44"/>
      <c r="Y64" s="44"/>
      <c r="Z64" s="44"/>
      <c r="AA64" s="44"/>
      <c r="AB64" s="44"/>
    </row>
    <row r="65" spans="1:28" s="35" customFormat="1" hidden="1">
      <c r="A65" s="44"/>
      <c r="B65" s="44"/>
      <c r="C65" s="44"/>
      <c r="D65" s="44"/>
      <c r="E65" s="44"/>
      <c r="F65" s="44"/>
      <c r="G65" s="44"/>
      <c r="H65" s="42"/>
      <c r="I65" s="44"/>
      <c r="J65" s="42"/>
      <c r="K65" s="42"/>
      <c r="L65" s="44"/>
      <c r="M65" s="51"/>
      <c r="N65" s="52"/>
      <c r="O65" s="52"/>
      <c r="P65" s="75"/>
      <c r="Q65" s="58"/>
      <c r="R65" s="44"/>
      <c r="S65" s="53"/>
      <c r="T65" s="58"/>
      <c r="U65" s="58"/>
      <c r="V65" s="44"/>
      <c r="W65" s="44"/>
      <c r="X65" s="44"/>
      <c r="Y65" s="44"/>
      <c r="Z65" s="44"/>
      <c r="AA65" s="44"/>
      <c r="AB65" s="44"/>
    </row>
    <row r="66" spans="1:28" s="35" customFormat="1" hidden="1">
      <c r="A66" s="44"/>
      <c r="B66" s="44"/>
      <c r="C66" s="44"/>
      <c r="D66" s="44"/>
      <c r="E66" s="44"/>
      <c r="F66" s="44"/>
      <c r="G66" s="44"/>
      <c r="H66" s="42"/>
      <c r="I66" s="44"/>
      <c r="J66" s="42"/>
      <c r="K66" s="42"/>
      <c r="L66" s="44"/>
      <c r="M66" s="51"/>
      <c r="N66" s="52"/>
      <c r="O66" s="52"/>
      <c r="P66" s="75"/>
      <c r="Q66" s="58"/>
      <c r="R66" s="44"/>
      <c r="S66" s="53"/>
      <c r="T66" s="58"/>
      <c r="U66" s="58"/>
      <c r="V66" s="44"/>
      <c r="W66" s="44"/>
      <c r="X66" s="44"/>
      <c r="Y66" s="44"/>
      <c r="Z66" s="44"/>
      <c r="AA66" s="44"/>
      <c r="AB66" s="44"/>
    </row>
    <row r="67" spans="1:28" s="35" customFormat="1" hidden="1">
      <c r="A67" s="44"/>
      <c r="B67" s="44"/>
      <c r="C67" s="44"/>
      <c r="D67" s="44"/>
      <c r="E67" s="44"/>
      <c r="F67" s="44"/>
      <c r="G67" s="44"/>
      <c r="H67" s="42"/>
      <c r="I67" s="44"/>
      <c r="J67" s="42"/>
      <c r="K67" s="42"/>
      <c r="L67" s="44"/>
      <c r="M67" s="51"/>
      <c r="N67" s="52"/>
      <c r="O67" s="52"/>
      <c r="P67" s="75"/>
      <c r="Q67" s="58"/>
      <c r="R67" s="44"/>
      <c r="S67" s="53"/>
      <c r="T67" s="58"/>
      <c r="U67" s="58"/>
      <c r="V67" s="44"/>
      <c r="W67" s="44"/>
      <c r="X67" s="44"/>
      <c r="Y67" s="44"/>
      <c r="Z67" s="44"/>
      <c r="AA67" s="44"/>
      <c r="AB67" s="44"/>
    </row>
    <row r="68" spans="1:28" s="35" customFormat="1" hidden="1">
      <c r="A68" s="44"/>
      <c r="B68" s="44"/>
      <c r="C68" s="44"/>
      <c r="D68" s="44"/>
      <c r="E68" s="44"/>
      <c r="F68" s="44"/>
      <c r="G68" s="44"/>
      <c r="H68" s="42"/>
      <c r="I68" s="44"/>
      <c r="J68" s="42"/>
      <c r="K68" s="42"/>
      <c r="L68" s="44"/>
      <c r="M68" s="51"/>
      <c r="N68" s="52"/>
      <c r="O68" s="52"/>
      <c r="P68" s="75"/>
      <c r="Q68" s="58"/>
      <c r="R68" s="44"/>
      <c r="S68" s="53"/>
      <c r="T68" s="58"/>
      <c r="U68" s="58"/>
      <c r="V68" s="44"/>
      <c r="W68" s="44"/>
      <c r="X68" s="44"/>
      <c r="Y68" s="44"/>
      <c r="Z68" s="44"/>
      <c r="AA68" s="44"/>
      <c r="AB68" s="44"/>
    </row>
    <row r="69" spans="1:28" s="35" customFormat="1" hidden="1">
      <c r="A69" s="44"/>
      <c r="B69" s="44"/>
      <c r="C69" s="44"/>
      <c r="D69" s="44"/>
      <c r="E69" s="44"/>
      <c r="F69" s="44"/>
      <c r="G69" s="44"/>
      <c r="H69" s="42"/>
      <c r="I69" s="44"/>
      <c r="J69" s="42"/>
      <c r="K69" s="42"/>
      <c r="L69" s="44"/>
      <c r="M69" s="51"/>
      <c r="N69" s="52"/>
      <c r="O69" s="52"/>
      <c r="P69" s="75"/>
      <c r="Q69" s="58"/>
      <c r="R69" s="44"/>
      <c r="S69" s="53"/>
      <c r="T69" s="58"/>
      <c r="U69" s="58"/>
      <c r="V69" s="44"/>
      <c r="W69" s="44"/>
      <c r="X69" s="44"/>
      <c r="Y69" s="44"/>
      <c r="Z69" s="44"/>
      <c r="AA69" s="44"/>
      <c r="AB69" s="44"/>
    </row>
    <row r="70" spans="1:28" s="34" customFormat="1" hidden="1">
      <c r="A70" s="43">
        <v>4</v>
      </c>
      <c r="B70" s="43">
        <f t="shared" ref="B70:G70" si="4">B48</f>
        <v>0</v>
      </c>
      <c r="C70" s="43">
        <f t="shared" si="4"/>
        <v>0</v>
      </c>
      <c r="D70" s="43">
        <f t="shared" si="4"/>
        <v>0</v>
      </c>
      <c r="E70" s="43">
        <f t="shared" si="4"/>
        <v>0</v>
      </c>
      <c r="F70" s="43">
        <f t="shared" si="4"/>
        <v>0</v>
      </c>
      <c r="G70" s="43">
        <f t="shared" si="4"/>
        <v>0</v>
      </c>
      <c r="H70" s="71"/>
      <c r="I70" s="43"/>
      <c r="J70" s="71"/>
      <c r="K70" s="71"/>
      <c r="L70" s="43"/>
      <c r="M70" s="49"/>
      <c r="N70" s="50"/>
      <c r="O70" s="50"/>
      <c r="P70" s="76"/>
      <c r="Q70" s="55">
        <f>SUM(Q71:Q91)</f>
        <v>0</v>
      </c>
      <c r="R70" s="43"/>
      <c r="S70" s="43"/>
      <c r="T70" s="43">
        <f>SUM(T71:T91)</f>
        <v>0</v>
      </c>
      <c r="U70" s="43"/>
      <c r="V70" s="50"/>
      <c r="W70" s="43"/>
      <c r="X70" s="64"/>
      <c r="Y70" s="43">
        <f>ROUNDUP(IF((O70-N70+1)*K70*X70/365&gt;R70,R70,(O70-N70+1)*K70*X70/365),2)</f>
        <v>0</v>
      </c>
      <c r="Z70" s="43"/>
      <c r="AA70" s="43"/>
      <c r="AB70" s="43"/>
    </row>
    <row r="71" spans="1:28" s="35" customFormat="1" hidden="1">
      <c r="A71" s="44"/>
      <c r="B71" s="44"/>
      <c r="C71" s="44"/>
      <c r="D71" s="44"/>
      <c r="E71" s="44"/>
      <c r="F71" s="44"/>
      <c r="G71" s="44"/>
      <c r="H71" s="42"/>
      <c r="I71" s="44"/>
      <c r="J71" s="42"/>
      <c r="K71" s="42"/>
      <c r="L71" s="44"/>
      <c r="M71" s="51"/>
      <c r="N71" s="52"/>
      <c r="O71" s="52"/>
      <c r="P71" s="75"/>
      <c r="Q71" s="58"/>
      <c r="R71" s="44"/>
      <c r="S71" s="53"/>
      <c r="T71" s="58"/>
      <c r="U71" s="58"/>
      <c r="V71" s="52"/>
      <c r="W71" s="44"/>
      <c r="X71" s="44"/>
      <c r="Y71" s="44"/>
      <c r="Z71" s="44"/>
      <c r="AA71" s="44"/>
      <c r="AB71" s="44"/>
    </row>
    <row r="72" spans="1:28" s="35" customFormat="1" hidden="1">
      <c r="A72" s="44"/>
      <c r="B72" s="44"/>
      <c r="C72" s="44"/>
      <c r="D72" s="44"/>
      <c r="E72" s="44"/>
      <c r="F72" s="44"/>
      <c r="G72" s="44"/>
      <c r="H72" s="42"/>
      <c r="I72" s="44"/>
      <c r="J72" s="42"/>
      <c r="K72" s="42"/>
      <c r="L72" s="44"/>
      <c r="M72" s="51"/>
      <c r="N72" s="52"/>
      <c r="O72" s="52"/>
      <c r="P72" s="75"/>
      <c r="Q72" s="58"/>
      <c r="R72" s="44"/>
      <c r="S72" s="53"/>
      <c r="T72" s="58"/>
      <c r="U72" s="58"/>
      <c r="V72" s="44"/>
      <c r="W72" s="44"/>
      <c r="X72" s="44"/>
      <c r="Y72" s="44"/>
      <c r="Z72" s="44"/>
      <c r="AA72" s="44"/>
      <c r="AB72" s="44"/>
    </row>
    <row r="73" spans="1:28" s="35" customFormat="1" hidden="1">
      <c r="A73" s="44"/>
      <c r="B73" s="44"/>
      <c r="C73" s="44"/>
      <c r="D73" s="44"/>
      <c r="E73" s="44"/>
      <c r="F73" s="44"/>
      <c r="G73" s="44"/>
      <c r="H73" s="42"/>
      <c r="I73" s="44"/>
      <c r="J73" s="42"/>
      <c r="K73" s="42"/>
      <c r="L73" s="44"/>
      <c r="M73" s="51"/>
      <c r="N73" s="52"/>
      <c r="O73" s="52"/>
      <c r="P73" s="75"/>
      <c r="Q73" s="58"/>
      <c r="R73" s="44"/>
      <c r="S73" s="53"/>
      <c r="T73" s="58"/>
      <c r="U73" s="58"/>
      <c r="V73" s="44"/>
      <c r="W73" s="44"/>
      <c r="X73" s="44"/>
      <c r="Y73" s="44"/>
      <c r="Z73" s="44"/>
      <c r="AA73" s="44"/>
      <c r="AB73" s="44"/>
    </row>
    <row r="74" spans="1:28" s="35" customFormat="1" hidden="1">
      <c r="A74" s="44"/>
      <c r="B74" s="44"/>
      <c r="C74" s="44"/>
      <c r="D74" s="44"/>
      <c r="E74" s="44"/>
      <c r="F74" s="44"/>
      <c r="G74" s="44"/>
      <c r="H74" s="42"/>
      <c r="I74" s="44"/>
      <c r="J74" s="42"/>
      <c r="K74" s="42"/>
      <c r="L74" s="44"/>
      <c r="M74" s="51"/>
      <c r="N74" s="52"/>
      <c r="O74" s="52"/>
      <c r="P74" s="75"/>
      <c r="Q74" s="58"/>
      <c r="R74" s="44"/>
      <c r="S74" s="53"/>
      <c r="T74" s="58"/>
      <c r="U74" s="58"/>
      <c r="V74" s="44"/>
      <c r="W74" s="44"/>
      <c r="X74" s="44"/>
      <c r="Y74" s="44"/>
      <c r="Z74" s="44"/>
      <c r="AA74" s="44"/>
      <c r="AB74" s="44"/>
    </row>
    <row r="75" spans="1:28" s="35" customFormat="1" hidden="1">
      <c r="A75" s="44"/>
      <c r="B75" s="44"/>
      <c r="C75" s="44"/>
      <c r="D75" s="44"/>
      <c r="E75" s="44"/>
      <c r="F75" s="44"/>
      <c r="G75" s="44"/>
      <c r="H75" s="42"/>
      <c r="I75" s="44"/>
      <c r="J75" s="42"/>
      <c r="K75" s="42"/>
      <c r="L75" s="44"/>
      <c r="M75" s="51"/>
      <c r="N75" s="52"/>
      <c r="O75" s="52"/>
      <c r="P75" s="75"/>
      <c r="Q75" s="58"/>
      <c r="R75" s="44"/>
      <c r="S75" s="53"/>
      <c r="T75" s="58"/>
      <c r="U75" s="58"/>
      <c r="V75" s="44"/>
      <c r="W75" s="44"/>
      <c r="X75" s="44"/>
      <c r="Y75" s="44"/>
      <c r="Z75" s="44"/>
      <c r="AA75" s="44"/>
      <c r="AB75" s="44"/>
    </row>
    <row r="76" spans="1:28" s="35" customFormat="1" hidden="1">
      <c r="A76" s="44"/>
      <c r="B76" s="44"/>
      <c r="C76" s="44"/>
      <c r="D76" s="44"/>
      <c r="E76" s="44"/>
      <c r="F76" s="44"/>
      <c r="G76" s="44"/>
      <c r="H76" s="42"/>
      <c r="I76" s="44"/>
      <c r="J76" s="42"/>
      <c r="K76" s="42"/>
      <c r="L76" s="44"/>
      <c r="M76" s="51"/>
      <c r="N76" s="52"/>
      <c r="O76" s="52"/>
      <c r="P76" s="75"/>
      <c r="Q76" s="58"/>
      <c r="R76" s="44"/>
      <c r="S76" s="53"/>
      <c r="T76" s="58"/>
      <c r="U76" s="58"/>
      <c r="V76" s="44"/>
      <c r="W76" s="44"/>
      <c r="X76" s="44"/>
      <c r="Y76" s="44"/>
      <c r="Z76" s="44"/>
      <c r="AA76" s="44"/>
      <c r="AB76" s="44"/>
    </row>
    <row r="77" spans="1:28" s="35" customFormat="1" hidden="1">
      <c r="A77" s="44"/>
      <c r="B77" s="44"/>
      <c r="C77" s="44"/>
      <c r="D77" s="44"/>
      <c r="E77" s="44"/>
      <c r="F77" s="44"/>
      <c r="G77" s="44"/>
      <c r="H77" s="42"/>
      <c r="I77" s="44"/>
      <c r="J77" s="42"/>
      <c r="K77" s="42"/>
      <c r="L77" s="44"/>
      <c r="M77" s="51"/>
      <c r="N77" s="52"/>
      <c r="O77" s="52"/>
      <c r="P77" s="75"/>
      <c r="Q77" s="58"/>
      <c r="R77" s="44"/>
      <c r="S77" s="53"/>
      <c r="T77" s="58"/>
      <c r="U77" s="58"/>
      <c r="V77" s="44"/>
      <c r="W77" s="44"/>
      <c r="X77" s="44"/>
      <c r="Y77" s="44"/>
      <c r="Z77" s="44"/>
      <c r="AA77" s="44"/>
      <c r="AB77" s="44"/>
    </row>
    <row r="78" spans="1:28" s="35" customFormat="1" hidden="1">
      <c r="A78" s="44"/>
      <c r="B78" s="44"/>
      <c r="C78" s="44"/>
      <c r="D78" s="44"/>
      <c r="E78" s="44"/>
      <c r="F78" s="44"/>
      <c r="G78" s="44"/>
      <c r="H78" s="42"/>
      <c r="I78" s="44"/>
      <c r="J78" s="42"/>
      <c r="K78" s="42"/>
      <c r="L78" s="44"/>
      <c r="M78" s="51"/>
      <c r="N78" s="52"/>
      <c r="O78" s="52"/>
      <c r="P78" s="75"/>
      <c r="Q78" s="58"/>
      <c r="R78" s="44"/>
      <c r="S78" s="53"/>
      <c r="T78" s="58"/>
      <c r="U78" s="58"/>
      <c r="V78" s="44"/>
      <c r="W78" s="44"/>
      <c r="X78" s="44"/>
      <c r="Y78" s="44"/>
      <c r="Z78" s="44"/>
      <c r="AA78" s="44"/>
      <c r="AB78" s="44"/>
    </row>
    <row r="79" spans="1:28" s="35" customFormat="1" hidden="1">
      <c r="A79" s="44"/>
      <c r="B79" s="44"/>
      <c r="C79" s="44"/>
      <c r="D79" s="44"/>
      <c r="E79" s="44"/>
      <c r="F79" s="44"/>
      <c r="G79" s="44"/>
      <c r="H79" s="42"/>
      <c r="I79" s="44"/>
      <c r="J79" s="42"/>
      <c r="K79" s="42"/>
      <c r="L79" s="44"/>
      <c r="M79" s="51"/>
      <c r="N79" s="52"/>
      <c r="O79" s="52"/>
      <c r="P79" s="75"/>
      <c r="Q79" s="58"/>
      <c r="R79" s="44"/>
      <c r="S79" s="53"/>
      <c r="T79" s="58"/>
      <c r="U79" s="58"/>
      <c r="V79" s="44"/>
      <c r="W79" s="44"/>
      <c r="X79" s="44"/>
      <c r="Y79" s="44"/>
      <c r="Z79" s="44"/>
      <c r="AA79" s="44"/>
      <c r="AB79" s="44"/>
    </row>
    <row r="80" spans="1:28" s="35" customFormat="1" hidden="1">
      <c r="A80" s="44"/>
      <c r="B80" s="44"/>
      <c r="C80" s="44"/>
      <c r="D80" s="44"/>
      <c r="E80" s="44"/>
      <c r="F80" s="44"/>
      <c r="G80" s="44"/>
      <c r="H80" s="42"/>
      <c r="I80" s="44"/>
      <c r="J80" s="42"/>
      <c r="K80" s="42"/>
      <c r="L80" s="44"/>
      <c r="M80" s="51"/>
      <c r="N80" s="52"/>
      <c r="O80" s="52"/>
      <c r="P80" s="75"/>
      <c r="Q80" s="58"/>
      <c r="R80" s="44"/>
      <c r="S80" s="53"/>
      <c r="T80" s="58"/>
      <c r="U80" s="58"/>
      <c r="V80" s="44"/>
      <c r="W80" s="44"/>
      <c r="X80" s="44"/>
      <c r="Y80" s="44"/>
      <c r="Z80" s="44"/>
      <c r="AA80" s="44"/>
      <c r="AB80" s="44"/>
    </row>
    <row r="81" spans="1:28" s="35" customFormat="1" hidden="1">
      <c r="A81" s="44"/>
      <c r="B81" s="44"/>
      <c r="C81" s="44"/>
      <c r="D81" s="44"/>
      <c r="E81" s="44"/>
      <c r="F81" s="44"/>
      <c r="G81" s="44"/>
      <c r="H81" s="42"/>
      <c r="I81" s="44"/>
      <c r="J81" s="42"/>
      <c r="K81" s="42"/>
      <c r="L81" s="44"/>
      <c r="M81" s="51"/>
      <c r="N81" s="52"/>
      <c r="O81" s="52"/>
      <c r="P81" s="75"/>
      <c r="Q81" s="58"/>
      <c r="R81" s="44"/>
      <c r="S81" s="53"/>
      <c r="T81" s="58"/>
      <c r="U81" s="58"/>
      <c r="V81" s="44"/>
      <c r="W81" s="44"/>
      <c r="X81" s="44"/>
      <c r="Y81" s="44"/>
      <c r="Z81" s="44"/>
      <c r="AA81" s="44"/>
      <c r="AB81" s="44"/>
    </row>
    <row r="82" spans="1:28" s="35" customFormat="1" hidden="1">
      <c r="A82" s="44"/>
      <c r="B82" s="44"/>
      <c r="C82" s="44"/>
      <c r="D82" s="44"/>
      <c r="E82" s="44"/>
      <c r="F82" s="44"/>
      <c r="G82" s="44"/>
      <c r="H82" s="42"/>
      <c r="I82" s="44"/>
      <c r="J82" s="42"/>
      <c r="K82" s="42"/>
      <c r="L82" s="44"/>
      <c r="M82" s="51"/>
      <c r="N82" s="52"/>
      <c r="O82" s="52"/>
      <c r="P82" s="75"/>
      <c r="Q82" s="58"/>
      <c r="R82" s="44"/>
      <c r="S82" s="53"/>
      <c r="T82" s="58"/>
      <c r="U82" s="58"/>
      <c r="V82" s="44"/>
      <c r="W82" s="44"/>
      <c r="X82" s="44"/>
      <c r="Y82" s="44"/>
      <c r="Z82" s="44"/>
      <c r="AA82" s="44"/>
      <c r="AB82" s="44"/>
    </row>
    <row r="83" spans="1:28" s="35" customFormat="1" hidden="1">
      <c r="A83" s="44"/>
      <c r="B83" s="44"/>
      <c r="C83" s="44"/>
      <c r="D83" s="44"/>
      <c r="E83" s="44"/>
      <c r="F83" s="44"/>
      <c r="G83" s="44"/>
      <c r="H83" s="42"/>
      <c r="I83" s="44"/>
      <c r="J83" s="42"/>
      <c r="K83" s="42"/>
      <c r="L83" s="44"/>
      <c r="M83" s="51"/>
      <c r="N83" s="52"/>
      <c r="O83" s="52"/>
      <c r="P83" s="75"/>
      <c r="Q83" s="58"/>
      <c r="R83" s="44"/>
      <c r="S83" s="53"/>
      <c r="T83" s="58"/>
      <c r="U83" s="58"/>
      <c r="V83" s="44"/>
      <c r="W83" s="44"/>
      <c r="X83" s="44"/>
      <c r="Y83" s="44"/>
      <c r="Z83" s="44"/>
      <c r="AA83" s="44"/>
      <c r="AB83" s="44"/>
    </row>
    <row r="84" spans="1:28" s="35" customFormat="1" hidden="1">
      <c r="A84" s="44"/>
      <c r="B84" s="44"/>
      <c r="C84" s="44"/>
      <c r="D84" s="44"/>
      <c r="E84" s="44"/>
      <c r="F84" s="44"/>
      <c r="G84" s="44"/>
      <c r="H84" s="42"/>
      <c r="I84" s="44"/>
      <c r="J84" s="42"/>
      <c r="K84" s="42"/>
      <c r="L84" s="44"/>
      <c r="M84" s="51"/>
      <c r="N84" s="52"/>
      <c r="O84" s="52"/>
      <c r="P84" s="75"/>
      <c r="Q84" s="58"/>
      <c r="R84" s="44"/>
      <c r="S84" s="53"/>
      <c r="T84" s="58"/>
      <c r="U84" s="58"/>
      <c r="V84" s="44"/>
      <c r="W84" s="44"/>
      <c r="X84" s="44"/>
      <c r="Y84" s="44"/>
      <c r="Z84" s="44"/>
      <c r="AA84" s="44"/>
      <c r="AB84" s="44"/>
    </row>
    <row r="85" spans="1:28" s="35" customFormat="1" hidden="1">
      <c r="A85" s="44"/>
      <c r="B85" s="44"/>
      <c r="C85" s="44"/>
      <c r="D85" s="44"/>
      <c r="E85" s="44"/>
      <c r="F85" s="44"/>
      <c r="G85" s="44"/>
      <c r="H85" s="42"/>
      <c r="I85" s="44"/>
      <c r="J85" s="42"/>
      <c r="K85" s="42"/>
      <c r="L85" s="44"/>
      <c r="M85" s="51"/>
      <c r="N85" s="52"/>
      <c r="O85" s="52"/>
      <c r="P85" s="75"/>
      <c r="Q85" s="58"/>
      <c r="R85" s="44"/>
      <c r="S85" s="53"/>
      <c r="T85" s="58"/>
      <c r="U85" s="58"/>
      <c r="V85" s="44"/>
      <c r="W85" s="44"/>
      <c r="X85" s="44"/>
      <c r="Y85" s="44"/>
      <c r="Z85" s="44"/>
      <c r="AA85" s="44"/>
      <c r="AB85" s="44"/>
    </row>
    <row r="86" spans="1:28" s="35" customFormat="1" hidden="1">
      <c r="A86" s="44"/>
      <c r="B86" s="44"/>
      <c r="C86" s="44"/>
      <c r="D86" s="44"/>
      <c r="E86" s="44"/>
      <c r="F86" s="44"/>
      <c r="G86" s="44"/>
      <c r="H86" s="42"/>
      <c r="I86" s="44"/>
      <c r="J86" s="42"/>
      <c r="K86" s="42"/>
      <c r="L86" s="44"/>
      <c r="M86" s="51"/>
      <c r="N86" s="52"/>
      <c r="O86" s="52"/>
      <c r="P86" s="75"/>
      <c r="Q86" s="58"/>
      <c r="R86" s="44"/>
      <c r="S86" s="53"/>
      <c r="T86" s="58"/>
      <c r="U86" s="58"/>
      <c r="V86" s="44"/>
      <c r="W86" s="44"/>
      <c r="X86" s="44"/>
      <c r="Y86" s="44"/>
      <c r="Z86" s="44"/>
      <c r="AA86" s="44"/>
      <c r="AB86" s="44"/>
    </row>
    <row r="87" spans="1:28" s="35" customFormat="1" hidden="1">
      <c r="A87" s="44"/>
      <c r="B87" s="44"/>
      <c r="C87" s="44"/>
      <c r="D87" s="44"/>
      <c r="E87" s="44"/>
      <c r="F87" s="44"/>
      <c r="G87" s="44"/>
      <c r="H87" s="42"/>
      <c r="I87" s="44"/>
      <c r="J87" s="42"/>
      <c r="K87" s="42"/>
      <c r="L87" s="44"/>
      <c r="M87" s="51"/>
      <c r="N87" s="52"/>
      <c r="O87" s="52"/>
      <c r="P87" s="75"/>
      <c r="Q87" s="58"/>
      <c r="R87" s="44"/>
      <c r="S87" s="53"/>
      <c r="T87" s="58"/>
      <c r="U87" s="58"/>
      <c r="V87" s="44"/>
      <c r="W87" s="44"/>
      <c r="X87" s="44"/>
      <c r="Y87" s="44"/>
      <c r="Z87" s="44"/>
      <c r="AA87" s="44"/>
      <c r="AB87" s="44"/>
    </row>
    <row r="88" spans="1:28" s="35" customFormat="1" hidden="1">
      <c r="A88" s="44"/>
      <c r="B88" s="44"/>
      <c r="C88" s="44"/>
      <c r="D88" s="44"/>
      <c r="E88" s="44"/>
      <c r="F88" s="44"/>
      <c r="G88" s="44"/>
      <c r="H88" s="42"/>
      <c r="I88" s="44"/>
      <c r="J88" s="42"/>
      <c r="K88" s="42"/>
      <c r="L88" s="44"/>
      <c r="M88" s="51"/>
      <c r="N88" s="52"/>
      <c r="O88" s="52"/>
      <c r="P88" s="75"/>
      <c r="Q88" s="58"/>
      <c r="R88" s="44"/>
      <c r="S88" s="53"/>
      <c r="T88" s="58"/>
      <c r="U88" s="58"/>
      <c r="V88" s="44"/>
      <c r="W88" s="44"/>
      <c r="X88" s="44"/>
      <c r="Y88" s="44"/>
      <c r="Z88" s="44"/>
      <c r="AA88" s="44"/>
      <c r="AB88" s="44"/>
    </row>
    <row r="89" spans="1:28" s="35" customFormat="1" hidden="1">
      <c r="A89" s="44"/>
      <c r="B89" s="44"/>
      <c r="C89" s="44"/>
      <c r="D89" s="44"/>
      <c r="E89" s="44"/>
      <c r="F89" s="44"/>
      <c r="G89" s="44"/>
      <c r="H89" s="42"/>
      <c r="I89" s="44"/>
      <c r="J89" s="42"/>
      <c r="K89" s="42"/>
      <c r="L89" s="44"/>
      <c r="M89" s="51"/>
      <c r="N89" s="52"/>
      <c r="O89" s="52"/>
      <c r="P89" s="75"/>
      <c r="Q89" s="58"/>
      <c r="R89" s="44"/>
      <c r="S89" s="53"/>
      <c r="T89" s="58"/>
      <c r="U89" s="58"/>
      <c r="V89" s="44"/>
      <c r="W89" s="44"/>
      <c r="X89" s="44"/>
      <c r="Y89" s="44"/>
      <c r="Z89" s="44"/>
      <c r="AA89" s="44"/>
      <c r="AB89" s="44"/>
    </row>
    <row r="90" spans="1:28" s="35" customFormat="1" hidden="1">
      <c r="A90" s="44"/>
      <c r="B90" s="44"/>
      <c r="C90" s="44"/>
      <c r="D90" s="44"/>
      <c r="E90" s="44"/>
      <c r="F90" s="44"/>
      <c r="G90" s="44"/>
      <c r="H90" s="42"/>
      <c r="I90" s="44"/>
      <c r="J90" s="42"/>
      <c r="K90" s="42"/>
      <c r="L90" s="44"/>
      <c r="M90" s="51"/>
      <c r="N90" s="52"/>
      <c r="O90" s="52"/>
      <c r="P90" s="75"/>
      <c r="Q90" s="58"/>
      <c r="R90" s="44"/>
      <c r="S90" s="53"/>
      <c r="T90" s="58"/>
      <c r="U90" s="58"/>
      <c r="V90" s="44"/>
      <c r="W90" s="44"/>
      <c r="X90" s="44"/>
      <c r="Y90" s="44"/>
      <c r="Z90" s="44"/>
      <c r="AA90" s="44"/>
      <c r="AB90" s="44"/>
    </row>
    <row r="91" spans="1:28" s="35" customFormat="1" hidden="1">
      <c r="A91" s="44"/>
      <c r="B91" s="44"/>
      <c r="C91" s="44"/>
      <c r="D91" s="44"/>
      <c r="E91" s="44"/>
      <c r="F91" s="44"/>
      <c r="G91" s="44"/>
      <c r="H91" s="42"/>
      <c r="I91" s="44"/>
      <c r="J91" s="42"/>
      <c r="K91" s="42"/>
      <c r="L91" s="44"/>
      <c r="M91" s="51"/>
      <c r="N91" s="52"/>
      <c r="O91" s="52"/>
      <c r="P91" s="75"/>
      <c r="Q91" s="58"/>
      <c r="R91" s="44"/>
      <c r="S91" s="53"/>
      <c r="T91" s="58"/>
      <c r="U91" s="58"/>
      <c r="V91" s="44"/>
      <c r="W91" s="44"/>
      <c r="X91" s="44"/>
      <c r="Y91" s="44"/>
      <c r="Z91" s="44"/>
      <c r="AA91" s="44"/>
      <c r="AB91" s="44"/>
    </row>
    <row r="92" spans="1:28" s="34" customFormat="1" hidden="1">
      <c r="A92" s="43">
        <v>5</v>
      </c>
      <c r="B92" s="43">
        <f t="shared" ref="B92:G92" si="5">B70</f>
        <v>0</v>
      </c>
      <c r="C92" s="43">
        <f t="shared" si="5"/>
        <v>0</v>
      </c>
      <c r="D92" s="43">
        <f t="shared" si="5"/>
        <v>0</v>
      </c>
      <c r="E92" s="43">
        <f t="shared" si="5"/>
        <v>0</v>
      </c>
      <c r="F92" s="43">
        <f t="shared" si="5"/>
        <v>0</v>
      </c>
      <c r="G92" s="43">
        <f t="shared" si="5"/>
        <v>0</v>
      </c>
      <c r="H92" s="71"/>
      <c r="I92" s="43"/>
      <c r="J92" s="71"/>
      <c r="K92" s="71"/>
      <c r="L92" s="43"/>
      <c r="M92" s="49"/>
      <c r="N92" s="50"/>
      <c r="O92" s="50"/>
      <c r="P92" s="76"/>
      <c r="Q92" s="55">
        <f>SUM(Q93:Q113)</f>
        <v>0</v>
      </c>
      <c r="R92" s="43"/>
      <c r="S92" s="43"/>
      <c r="T92" s="43">
        <f>SUM(T93:T113)</f>
        <v>0</v>
      </c>
      <c r="U92" s="43"/>
      <c r="V92" s="50"/>
      <c r="W92" s="43"/>
      <c r="X92" s="64"/>
      <c r="Y92" s="43">
        <f>ROUNDUP(IF((O92-N92+1)*K92*X92/365&gt;R92,R92,(O92-N92+1)*K92*X92/365),2)</f>
        <v>0</v>
      </c>
      <c r="Z92" s="43"/>
      <c r="AA92" s="43"/>
      <c r="AB92" s="43"/>
    </row>
    <row r="93" spans="1:28" s="35" customFormat="1" hidden="1">
      <c r="A93" s="44"/>
      <c r="B93" s="44"/>
      <c r="C93" s="44"/>
      <c r="D93" s="44"/>
      <c r="E93" s="44"/>
      <c r="F93" s="44"/>
      <c r="G93" s="44"/>
      <c r="H93" s="42"/>
      <c r="I93" s="44"/>
      <c r="J93" s="42"/>
      <c r="K93" s="42"/>
      <c r="L93" s="44"/>
      <c r="M93" s="51"/>
      <c r="N93" s="52"/>
      <c r="O93" s="52"/>
      <c r="P93" s="75"/>
      <c r="Q93" s="58"/>
      <c r="R93" s="44"/>
      <c r="S93" s="53"/>
      <c r="T93" s="58"/>
      <c r="U93" s="58"/>
      <c r="V93" s="52"/>
      <c r="W93" s="44"/>
      <c r="X93" s="44"/>
      <c r="Y93" s="44"/>
      <c r="Z93" s="44"/>
      <c r="AA93" s="44"/>
      <c r="AB93" s="44"/>
    </row>
    <row r="94" spans="1:28" s="35" customFormat="1" hidden="1">
      <c r="A94" s="44"/>
      <c r="B94" s="44"/>
      <c r="C94" s="44"/>
      <c r="D94" s="44"/>
      <c r="E94" s="44"/>
      <c r="F94" s="44"/>
      <c r="G94" s="44"/>
      <c r="H94" s="42"/>
      <c r="I94" s="44"/>
      <c r="J94" s="42"/>
      <c r="K94" s="42"/>
      <c r="L94" s="44"/>
      <c r="M94" s="51"/>
      <c r="N94" s="52"/>
      <c r="O94" s="52"/>
      <c r="P94" s="75"/>
      <c r="Q94" s="58"/>
      <c r="R94" s="44"/>
      <c r="S94" s="53"/>
      <c r="T94" s="58"/>
      <c r="U94" s="58"/>
      <c r="V94" s="44"/>
      <c r="W94" s="44"/>
      <c r="X94" s="44"/>
      <c r="Y94" s="44"/>
      <c r="Z94" s="44"/>
      <c r="AA94" s="44"/>
      <c r="AB94" s="44"/>
    </row>
    <row r="95" spans="1:28" s="35" customFormat="1" hidden="1">
      <c r="A95" s="44"/>
      <c r="B95" s="44"/>
      <c r="C95" s="44"/>
      <c r="D95" s="44"/>
      <c r="E95" s="44"/>
      <c r="F95" s="44"/>
      <c r="G95" s="44"/>
      <c r="H95" s="42"/>
      <c r="I95" s="44"/>
      <c r="J95" s="42"/>
      <c r="K95" s="42"/>
      <c r="L95" s="44"/>
      <c r="M95" s="51"/>
      <c r="N95" s="52"/>
      <c r="O95" s="52"/>
      <c r="P95" s="75"/>
      <c r="Q95" s="58"/>
      <c r="R95" s="44"/>
      <c r="S95" s="53"/>
      <c r="T95" s="58"/>
      <c r="U95" s="58"/>
      <c r="V95" s="44"/>
      <c r="W95" s="44"/>
      <c r="X95" s="44"/>
      <c r="Y95" s="44"/>
      <c r="Z95" s="44"/>
      <c r="AA95" s="44"/>
      <c r="AB95" s="44"/>
    </row>
    <row r="96" spans="1:28" s="35" customFormat="1" hidden="1">
      <c r="A96" s="44"/>
      <c r="B96" s="44"/>
      <c r="C96" s="44"/>
      <c r="D96" s="44"/>
      <c r="E96" s="44"/>
      <c r="F96" s="44"/>
      <c r="G96" s="44"/>
      <c r="H96" s="42"/>
      <c r="I96" s="44"/>
      <c r="J96" s="42"/>
      <c r="K96" s="42"/>
      <c r="L96" s="44"/>
      <c r="M96" s="51"/>
      <c r="N96" s="52"/>
      <c r="O96" s="52"/>
      <c r="P96" s="75"/>
      <c r="Q96" s="58"/>
      <c r="R96" s="44"/>
      <c r="S96" s="53"/>
      <c r="T96" s="58"/>
      <c r="U96" s="58"/>
      <c r="V96" s="44"/>
      <c r="W96" s="44"/>
      <c r="X96" s="44"/>
      <c r="Y96" s="44"/>
      <c r="Z96" s="44"/>
      <c r="AA96" s="44"/>
      <c r="AB96" s="44"/>
    </row>
    <row r="97" spans="1:28" s="35" customFormat="1" hidden="1">
      <c r="A97" s="44"/>
      <c r="B97" s="44"/>
      <c r="C97" s="44"/>
      <c r="D97" s="44"/>
      <c r="E97" s="44"/>
      <c r="F97" s="44"/>
      <c r="G97" s="44"/>
      <c r="H97" s="42"/>
      <c r="I97" s="44"/>
      <c r="J97" s="42"/>
      <c r="K97" s="42"/>
      <c r="L97" s="44"/>
      <c r="M97" s="51"/>
      <c r="N97" s="52"/>
      <c r="O97" s="52"/>
      <c r="P97" s="75"/>
      <c r="Q97" s="58"/>
      <c r="R97" s="44"/>
      <c r="S97" s="53"/>
      <c r="T97" s="58"/>
      <c r="U97" s="58"/>
      <c r="V97" s="44"/>
      <c r="W97" s="44"/>
      <c r="X97" s="44"/>
      <c r="Y97" s="44"/>
      <c r="Z97" s="44"/>
      <c r="AA97" s="44"/>
      <c r="AB97" s="44"/>
    </row>
    <row r="98" spans="1:28" s="35" customFormat="1" hidden="1">
      <c r="A98" s="44"/>
      <c r="B98" s="44"/>
      <c r="C98" s="44"/>
      <c r="D98" s="44"/>
      <c r="E98" s="44"/>
      <c r="F98" s="44"/>
      <c r="G98" s="44"/>
      <c r="H98" s="42"/>
      <c r="I98" s="44"/>
      <c r="J98" s="42"/>
      <c r="K98" s="42"/>
      <c r="L98" s="44"/>
      <c r="M98" s="51"/>
      <c r="N98" s="52"/>
      <c r="O98" s="52"/>
      <c r="P98" s="75"/>
      <c r="Q98" s="58"/>
      <c r="R98" s="44"/>
      <c r="S98" s="53"/>
      <c r="T98" s="58"/>
      <c r="U98" s="58"/>
      <c r="V98" s="44"/>
      <c r="W98" s="44"/>
      <c r="X98" s="44"/>
      <c r="Y98" s="44"/>
      <c r="Z98" s="44"/>
      <c r="AA98" s="44"/>
      <c r="AB98" s="44"/>
    </row>
    <row r="99" spans="1:28" s="35" customFormat="1" hidden="1">
      <c r="A99" s="44"/>
      <c r="B99" s="44"/>
      <c r="C99" s="44"/>
      <c r="D99" s="44"/>
      <c r="E99" s="44"/>
      <c r="F99" s="44"/>
      <c r="G99" s="44"/>
      <c r="H99" s="42"/>
      <c r="I99" s="44"/>
      <c r="J99" s="42"/>
      <c r="K99" s="42"/>
      <c r="L99" s="44"/>
      <c r="M99" s="51"/>
      <c r="N99" s="52"/>
      <c r="O99" s="52"/>
      <c r="P99" s="75"/>
      <c r="Q99" s="58"/>
      <c r="R99" s="44"/>
      <c r="S99" s="53"/>
      <c r="T99" s="58"/>
      <c r="U99" s="58"/>
      <c r="V99" s="44"/>
      <c r="W99" s="44"/>
      <c r="X99" s="44"/>
      <c r="Y99" s="44"/>
      <c r="Z99" s="44"/>
      <c r="AA99" s="44"/>
      <c r="AB99" s="44"/>
    </row>
    <row r="100" spans="1:28" s="35" customFormat="1" hidden="1">
      <c r="A100" s="44"/>
      <c r="B100" s="44"/>
      <c r="C100" s="44"/>
      <c r="D100" s="44"/>
      <c r="E100" s="44"/>
      <c r="F100" s="44"/>
      <c r="G100" s="44"/>
      <c r="H100" s="42"/>
      <c r="I100" s="44"/>
      <c r="J100" s="42"/>
      <c r="K100" s="42"/>
      <c r="L100" s="44"/>
      <c r="M100" s="51"/>
      <c r="N100" s="52"/>
      <c r="O100" s="52"/>
      <c r="P100" s="75"/>
      <c r="Q100" s="58"/>
      <c r="R100" s="44"/>
      <c r="S100" s="53"/>
      <c r="T100" s="58"/>
      <c r="U100" s="58"/>
      <c r="V100" s="44"/>
      <c r="W100" s="44"/>
      <c r="X100" s="44"/>
      <c r="Y100" s="44"/>
      <c r="Z100" s="44"/>
      <c r="AA100" s="44"/>
      <c r="AB100" s="44"/>
    </row>
    <row r="101" spans="1:28" s="35" customFormat="1" hidden="1">
      <c r="A101" s="44"/>
      <c r="B101" s="44"/>
      <c r="C101" s="44"/>
      <c r="D101" s="44"/>
      <c r="E101" s="44"/>
      <c r="F101" s="44"/>
      <c r="G101" s="44"/>
      <c r="H101" s="42"/>
      <c r="I101" s="44"/>
      <c r="J101" s="42"/>
      <c r="K101" s="42"/>
      <c r="L101" s="44"/>
      <c r="M101" s="51"/>
      <c r="N101" s="52"/>
      <c r="O101" s="52"/>
      <c r="P101" s="75"/>
      <c r="Q101" s="58"/>
      <c r="R101" s="44"/>
      <c r="S101" s="53"/>
      <c r="T101" s="58"/>
      <c r="U101" s="58"/>
      <c r="V101" s="44"/>
      <c r="W101" s="44"/>
      <c r="X101" s="44"/>
      <c r="Y101" s="44"/>
      <c r="Z101" s="44"/>
      <c r="AA101" s="44"/>
      <c r="AB101" s="44"/>
    </row>
    <row r="102" spans="1:28" s="35" customFormat="1" hidden="1">
      <c r="A102" s="44"/>
      <c r="B102" s="44"/>
      <c r="C102" s="44"/>
      <c r="D102" s="44"/>
      <c r="E102" s="44"/>
      <c r="F102" s="44"/>
      <c r="G102" s="44"/>
      <c r="H102" s="42"/>
      <c r="I102" s="44"/>
      <c r="J102" s="42"/>
      <c r="K102" s="42"/>
      <c r="L102" s="44"/>
      <c r="M102" s="51"/>
      <c r="N102" s="52"/>
      <c r="O102" s="52"/>
      <c r="P102" s="75"/>
      <c r="Q102" s="58"/>
      <c r="R102" s="44"/>
      <c r="S102" s="53"/>
      <c r="T102" s="58"/>
      <c r="U102" s="58"/>
      <c r="V102" s="44"/>
      <c r="W102" s="44"/>
      <c r="X102" s="44"/>
      <c r="Y102" s="44"/>
      <c r="Z102" s="44"/>
      <c r="AA102" s="44"/>
      <c r="AB102" s="44"/>
    </row>
    <row r="103" spans="1:28" s="35" customFormat="1" hidden="1">
      <c r="A103" s="44"/>
      <c r="B103" s="44"/>
      <c r="C103" s="44"/>
      <c r="D103" s="44"/>
      <c r="E103" s="44"/>
      <c r="F103" s="44"/>
      <c r="G103" s="44"/>
      <c r="H103" s="42"/>
      <c r="I103" s="44"/>
      <c r="J103" s="42"/>
      <c r="K103" s="42"/>
      <c r="L103" s="44"/>
      <c r="M103" s="51"/>
      <c r="N103" s="52"/>
      <c r="O103" s="52"/>
      <c r="P103" s="75"/>
      <c r="Q103" s="58"/>
      <c r="R103" s="44"/>
      <c r="S103" s="53"/>
      <c r="T103" s="58"/>
      <c r="U103" s="58"/>
      <c r="V103" s="44"/>
      <c r="W103" s="44"/>
      <c r="X103" s="44"/>
      <c r="Y103" s="44"/>
      <c r="Z103" s="44"/>
      <c r="AA103" s="44"/>
      <c r="AB103" s="44"/>
    </row>
    <row r="104" spans="1:28" s="35" customFormat="1" hidden="1">
      <c r="A104" s="44"/>
      <c r="B104" s="44"/>
      <c r="C104" s="44"/>
      <c r="D104" s="44"/>
      <c r="E104" s="44"/>
      <c r="F104" s="44"/>
      <c r="G104" s="44"/>
      <c r="H104" s="42"/>
      <c r="I104" s="44"/>
      <c r="J104" s="42"/>
      <c r="K104" s="42"/>
      <c r="L104" s="44"/>
      <c r="M104" s="51"/>
      <c r="N104" s="52"/>
      <c r="O104" s="52"/>
      <c r="P104" s="75"/>
      <c r="Q104" s="58"/>
      <c r="R104" s="44"/>
      <c r="S104" s="53"/>
      <c r="T104" s="58"/>
      <c r="U104" s="58"/>
      <c r="V104" s="44"/>
      <c r="W104" s="44"/>
      <c r="X104" s="44"/>
      <c r="Y104" s="44"/>
      <c r="Z104" s="44"/>
      <c r="AA104" s="44"/>
      <c r="AB104" s="44"/>
    </row>
    <row r="105" spans="1:28" s="35" customFormat="1" hidden="1">
      <c r="A105" s="44"/>
      <c r="B105" s="44"/>
      <c r="C105" s="44"/>
      <c r="D105" s="44"/>
      <c r="E105" s="44"/>
      <c r="F105" s="44"/>
      <c r="G105" s="44"/>
      <c r="H105" s="42"/>
      <c r="I105" s="44"/>
      <c r="J105" s="42"/>
      <c r="K105" s="42"/>
      <c r="L105" s="44"/>
      <c r="M105" s="51"/>
      <c r="N105" s="52"/>
      <c r="O105" s="52"/>
      <c r="P105" s="75"/>
      <c r="Q105" s="58"/>
      <c r="R105" s="44"/>
      <c r="S105" s="53"/>
      <c r="T105" s="58"/>
      <c r="U105" s="58"/>
      <c r="V105" s="44"/>
      <c r="W105" s="44"/>
      <c r="X105" s="44"/>
      <c r="Y105" s="44"/>
      <c r="Z105" s="44"/>
      <c r="AA105" s="44"/>
      <c r="AB105" s="44"/>
    </row>
    <row r="106" spans="1:28" s="35" customFormat="1" hidden="1">
      <c r="A106" s="44"/>
      <c r="B106" s="44"/>
      <c r="C106" s="44"/>
      <c r="D106" s="44"/>
      <c r="E106" s="44"/>
      <c r="F106" s="44"/>
      <c r="G106" s="44"/>
      <c r="H106" s="42"/>
      <c r="I106" s="44"/>
      <c r="J106" s="42"/>
      <c r="K106" s="42"/>
      <c r="L106" s="44"/>
      <c r="M106" s="51"/>
      <c r="N106" s="52"/>
      <c r="O106" s="52"/>
      <c r="P106" s="75"/>
      <c r="Q106" s="58"/>
      <c r="R106" s="44"/>
      <c r="S106" s="53"/>
      <c r="T106" s="58"/>
      <c r="U106" s="58"/>
      <c r="V106" s="44"/>
      <c r="W106" s="44"/>
      <c r="X106" s="44"/>
      <c r="Y106" s="44"/>
      <c r="Z106" s="44"/>
      <c r="AA106" s="44"/>
      <c r="AB106" s="44"/>
    </row>
    <row r="107" spans="1:28" s="35" customFormat="1" hidden="1">
      <c r="A107" s="44"/>
      <c r="B107" s="44"/>
      <c r="C107" s="44"/>
      <c r="D107" s="44"/>
      <c r="E107" s="44"/>
      <c r="F107" s="44"/>
      <c r="G107" s="44"/>
      <c r="H107" s="42"/>
      <c r="I107" s="44"/>
      <c r="J107" s="42"/>
      <c r="K107" s="42"/>
      <c r="L107" s="44"/>
      <c r="M107" s="51"/>
      <c r="N107" s="52"/>
      <c r="O107" s="52"/>
      <c r="P107" s="75"/>
      <c r="Q107" s="58"/>
      <c r="R107" s="44"/>
      <c r="S107" s="53"/>
      <c r="T107" s="58"/>
      <c r="U107" s="58"/>
      <c r="V107" s="44"/>
      <c r="W107" s="44"/>
      <c r="X107" s="44"/>
      <c r="Y107" s="44"/>
      <c r="Z107" s="44"/>
      <c r="AA107" s="44"/>
      <c r="AB107" s="44"/>
    </row>
    <row r="108" spans="1:28" s="35" customFormat="1" hidden="1">
      <c r="A108" s="44"/>
      <c r="B108" s="44"/>
      <c r="C108" s="44"/>
      <c r="D108" s="44"/>
      <c r="E108" s="44"/>
      <c r="F108" s="44"/>
      <c r="G108" s="44"/>
      <c r="H108" s="42"/>
      <c r="I108" s="44"/>
      <c r="J108" s="42"/>
      <c r="K108" s="42"/>
      <c r="L108" s="44"/>
      <c r="M108" s="51"/>
      <c r="N108" s="52"/>
      <c r="O108" s="52"/>
      <c r="P108" s="75"/>
      <c r="Q108" s="58"/>
      <c r="R108" s="44"/>
      <c r="S108" s="53"/>
      <c r="T108" s="58"/>
      <c r="U108" s="58"/>
      <c r="V108" s="44"/>
      <c r="W108" s="44"/>
      <c r="X108" s="44"/>
      <c r="Y108" s="44"/>
      <c r="Z108" s="44"/>
      <c r="AA108" s="44"/>
      <c r="AB108" s="44"/>
    </row>
    <row r="109" spans="1:28" s="35" customFormat="1" hidden="1">
      <c r="A109" s="44"/>
      <c r="B109" s="44"/>
      <c r="C109" s="44"/>
      <c r="D109" s="44"/>
      <c r="E109" s="44"/>
      <c r="F109" s="44"/>
      <c r="G109" s="44"/>
      <c r="H109" s="42"/>
      <c r="I109" s="44"/>
      <c r="J109" s="42"/>
      <c r="K109" s="42"/>
      <c r="L109" s="44"/>
      <c r="M109" s="51"/>
      <c r="N109" s="52"/>
      <c r="O109" s="52"/>
      <c r="P109" s="75"/>
      <c r="Q109" s="58"/>
      <c r="R109" s="44"/>
      <c r="S109" s="53"/>
      <c r="T109" s="58"/>
      <c r="U109" s="58"/>
      <c r="V109" s="44"/>
      <c r="W109" s="44"/>
      <c r="X109" s="44"/>
      <c r="Y109" s="44"/>
      <c r="Z109" s="44"/>
      <c r="AA109" s="44"/>
      <c r="AB109" s="44"/>
    </row>
    <row r="110" spans="1:28" s="35" customFormat="1" hidden="1">
      <c r="A110" s="44"/>
      <c r="B110" s="44"/>
      <c r="C110" s="44"/>
      <c r="D110" s="44"/>
      <c r="E110" s="44"/>
      <c r="F110" s="44"/>
      <c r="G110" s="44"/>
      <c r="H110" s="42"/>
      <c r="I110" s="44"/>
      <c r="J110" s="42"/>
      <c r="K110" s="42"/>
      <c r="L110" s="44"/>
      <c r="M110" s="51"/>
      <c r="N110" s="52"/>
      <c r="O110" s="52"/>
      <c r="P110" s="75"/>
      <c r="Q110" s="58"/>
      <c r="R110" s="44"/>
      <c r="S110" s="53"/>
      <c r="T110" s="58"/>
      <c r="U110" s="58"/>
      <c r="V110" s="44"/>
      <c r="W110" s="44"/>
      <c r="X110" s="44"/>
      <c r="Y110" s="44"/>
      <c r="Z110" s="44"/>
      <c r="AA110" s="44"/>
      <c r="AB110" s="44"/>
    </row>
    <row r="111" spans="1:28" s="35" customFormat="1" hidden="1">
      <c r="A111" s="44"/>
      <c r="B111" s="44"/>
      <c r="C111" s="44"/>
      <c r="D111" s="44"/>
      <c r="E111" s="44"/>
      <c r="F111" s="44"/>
      <c r="G111" s="44"/>
      <c r="H111" s="42"/>
      <c r="I111" s="44"/>
      <c r="J111" s="42"/>
      <c r="K111" s="42"/>
      <c r="L111" s="44"/>
      <c r="M111" s="51"/>
      <c r="N111" s="52"/>
      <c r="O111" s="52"/>
      <c r="P111" s="75"/>
      <c r="Q111" s="58"/>
      <c r="R111" s="44"/>
      <c r="S111" s="53"/>
      <c r="T111" s="58"/>
      <c r="U111" s="58"/>
      <c r="V111" s="44"/>
      <c r="W111" s="44"/>
      <c r="X111" s="44"/>
      <c r="Y111" s="44"/>
      <c r="Z111" s="44"/>
      <c r="AA111" s="44"/>
      <c r="AB111" s="44"/>
    </row>
    <row r="112" spans="1:28" s="35" customFormat="1" hidden="1">
      <c r="A112" s="44"/>
      <c r="B112" s="44"/>
      <c r="C112" s="44"/>
      <c r="D112" s="44"/>
      <c r="E112" s="44"/>
      <c r="F112" s="44"/>
      <c r="G112" s="44"/>
      <c r="H112" s="42"/>
      <c r="I112" s="44"/>
      <c r="J112" s="42"/>
      <c r="K112" s="42"/>
      <c r="L112" s="44"/>
      <c r="M112" s="51"/>
      <c r="N112" s="52"/>
      <c r="O112" s="52"/>
      <c r="P112" s="75"/>
      <c r="Q112" s="58"/>
      <c r="R112" s="44"/>
      <c r="S112" s="53"/>
      <c r="T112" s="58"/>
      <c r="U112" s="58"/>
      <c r="V112" s="44"/>
      <c r="W112" s="44"/>
      <c r="X112" s="44"/>
      <c r="Y112" s="44"/>
      <c r="Z112" s="44"/>
      <c r="AA112" s="44"/>
      <c r="AB112" s="44"/>
    </row>
    <row r="113" spans="1:28" s="35" customFormat="1" hidden="1">
      <c r="A113" s="44"/>
      <c r="B113" s="44"/>
      <c r="C113" s="44"/>
      <c r="D113" s="44"/>
      <c r="E113" s="44"/>
      <c r="F113" s="44"/>
      <c r="G113" s="44"/>
      <c r="H113" s="42"/>
      <c r="I113" s="44"/>
      <c r="J113" s="42"/>
      <c r="K113" s="42"/>
      <c r="L113" s="44"/>
      <c r="M113" s="51"/>
      <c r="N113" s="52"/>
      <c r="O113" s="52"/>
      <c r="P113" s="75"/>
      <c r="Q113" s="58"/>
      <c r="R113" s="44"/>
      <c r="S113" s="53"/>
      <c r="T113" s="58"/>
      <c r="U113" s="58"/>
      <c r="V113" s="44"/>
      <c r="W113" s="44"/>
      <c r="X113" s="44"/>
      <c r="Y113" s="44"/>
      <c r="Z113" s="44"/>
      <c r="AA113" s="44"/>
      <c r="AB113" s="44"/>
    </row>
    <row r="114" spans="1:28" s="34" customFormat="1">
      <c r="A114" s="43" t="s">
        <v>48</v>
      </c>
      <c r="B114" s="43"/>
      <c r="C114" s="43"/>
      <c r="D114" s="43"/>
      <c r="E114" s="43"/>
      <c r="F114" s="43"/>
      <c r="G114" s="43"/>
      <c r="H114" s="71"/>
      <c r="I114" s="43"/>
      <c r="J114" s="71"/>
      <c r="K114" s="71">
        <f>K92+K70+K48+K26++K4</f>
        <v>100</v>
      </c>
      <c r="L114" s="43"/>
      <c r="M114" s="49"/>
      <c r="N114" s="50"/>
      <c r="O114" s="50"/>
      <c r="P114" s="76"/>
      <c r="Q114" s="43"/>
      <c r="R114" s="43">
        <f>R92+R70+R48+R26++R4</f>
        <v>1</v>
      </c>
      <c r="S114" s="43"/>
      <c r="T114" s="43"/>
      <c r="U114" s="43"/>
      <c r="V114" s="43"/>
      <c r="W114" s="43"/>
      <c r="X114" s="43"/>
      <c r="Y114" s="43">
        <f>Y92+Y70+Y48+Y26++Y4</f>
        <v>0.99</v>
      </c>
      <c r="Z114" s="43"/>
      <c r="AA114" s="43"/>
      <c r="AB114" s="43"/>
    </row>
    <row r="115" spans="1:28">
      <c r="I115" s="36" t="s">
        <v>49</v>
      </c>
      <c r="K115" s="72">
        <f>IF(K114&gt;3000,K116,K114)</f>
        <v>100</v>
      </c>
    </row>
    <row r="116" spans="1:28">
      <c r="K116" s="72" t="s">
        <v>50</v>
      </c>
    </row>
  </sheetData>
  <mergeCells count="12">
    <mergeCell ref="AB2:AB3"/>
    <mergeCell ref="B1:V1"/>
    <mergeCell ref="I2:R2"/>
    <mergeCell ref="S2:Y2"/>
    <mergeCell ref="A2:A3"/>
    <mergeCell ref="B2:B3"/>
    <mergeCell ref="C2:C3"/>
    <mergeCell ref="D2:D3"/>
    <mergeCell ref="E2:E3"/>
    <mergeCell ref="F2:F3"/>
    <mergeCell ref="G2:G3"/>
    <mergeCell ref="H2:H3"/>
  </mergeCells>
  <phoneticPr fontId="31" type="noConversion"/>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214</vt:i4>
      </vt:variant>
      <vt:variant>
        <vt:lpstr>命名范围</vt:lpstr>
      </vt:variant>
      <vt:variant>
        <vt:i4>1</vt:i4>
      </vt:variant>
    </vt:vector>
  </HeadingPairs>
  <TitlesOfParts>
    <vt:vector size="21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68</vt:lpstr>
      <vt:lpstr>高新审计汇总透视表</vt:lpstr>
      <vt:lpstr>Sheet1</vt:lpstr>
      <vt:lpstr>拟支持企业名单</vt:lpstr>
      <vt:lpstr>高新申报数据透视</vt:lpstr>
      <vt:lpstr>Sheet6</vt:lpstr>
      <vt:lpstr>Sheet2</vt:lpstr>
      <vt:lpstr>空模板1</vt:lpstr>
      <vt:lpstr>152</vt:lpstr>
      <vt:lpstr>154</vt:lpstr>
      <vt:lpstr>155</vt:lpstr>
      <vt:lpstr>156</vt:lpstr>
      <vt:lpstr>158</vt:lpstr>
      <vt:lpstr>62</vt:lpstr>
      <vt:lpstr>63</vt:lpstr>
      <vt:lpstr>64</vt:lpstr>
      <vt:lpstr>65</vt:lpstr>
      <vt:lpstr>66</vt:lpstr>
      <vt:lpstr>67</vt:lpstr>
      <vt:lpstr>69</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96</vt:lpstr>
      <vt:lpstr>97</vt:lpstr>
      <vt:lpstr>98</vt:lpstr>
      <vt:lpstr>133</vt:lpstr>
      <vt:lpstr>134</vt:lpstr>
      <vt:lpstr>136</vt:lpstr>
      <vt:lpstr>137</vt:lpstr>
      <vt:lpstr>138</vt:lpstr>
      <vt:lpstr>139</vt:lpstr>
      <vt:lpstr>141</vt:lpstr>
      <vt:lpstr>142</vt:lpstr>
      <vt:lpstr>143</vt:lpstr>
      <vt:lpstr>144</vt:lpstr>
      <vt:lpstr>145</vt:lpstr>
      <vt:lpstr>146</vt:lpstr>
      <vt:lpstr>147</vt:lpstr>
      <vt:lpstr>163</vt:lpstr>
      <vt:lpstr>164</vt:lpstr>
      <vt:lpstr>165</vt:lpstr>
      <vt:lpstr>166</vt:lpstr>
      <vt:lpstr>167</vt:lpstr>
      <vt:lpstr>168</vt:lpstr>
      <vt:lpstr>169</vt:lpstr>
      <vt:lpstr>170</vt:lpstr>
      <vt:lpstr>171</vt:lpstr>
      <vt:lpstr>202</vt:lpstr>
      <vt:lpstr>203</vt:lpstr>
      <vt:lpstr>204</vt:lpstr>
      <vt:lpstr>205</vt:lpstr>
      <vt:lpstr>206</vt:lpstr>
      <vt:lpstr>207</vt:lpstr>
      <vt:lpstr>70</vt:lpstr>
      <vt:lpstr>71</vt:lpstr>
      <vt:lpstr>72</vt:lpstr>
      <vt:lpstr>90</vt:lpstr>
      <vt:lpstr>91</vt:lpstr>
      <vt:lpstr>92</vt:lpstr>
      <vt:lpstr>93</vt:lpstr>
      <vt:lpstr>94</vt:lpstr>
      <vt:lpstr>99</vt:lpstr>
      <vt:lpstr>100</vt:lpstr>
      <vt:lpstr>95</vt:lpstr>
      <vt:lpstr>101</vt:lpstr>
      <vt:lpstr>102</vt:lpstr>
      <vt:lpstr>103</vt:lpstr>
      <vt:lpstr>104</vt:lpstr>
      <vt:lpstr>105</vt:lpstr>
      <vt:lpstr>106</vt:lpstr>
      <vt:lpstr>107</vt:lpstr>
      <vt:lpstr>108</vt:lpstr>
      <vt:lpstr>109</vt:lpstr>
      <vt:lpstr>110</vt:lpstr>
      <vt:lpstr>111</vt:lpstr>
      <vt:lpstr>172</vt:lpstr>
      <vt:lpstr>173</vt:lpstr>
      <vt:lpstr>174</vt:lpstr>
      <vt:lpstr>175</vt:lpstr>
      <vt:lpstr>176</vt:lpstr>
      <vt:lpstr>177</vt:lpstr>
      <vt:lpstr>178</vt:lpstr>
      <vt:lpstr>179</vt:lpstr>
      <vt:lpstr>180</vt:lpstr>
      <vt:lpstr>181</vt:lpstr>
      <vt:lpstr>182</vt:lpstr>
      <vt:lpstr>183</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184</vt:lpstr>
      <vt:lpstr>185</vt:lpstr>
      <vt:lpstr>186</vt:lpstr>
      <vt:lpstr>187</vt:lpstr>
      <vt:lpstr>188</vt:lpstr>
      <vt:lpstr>189</vt:lpstr>
      <vt:lpstr>190</vt:lpstr>
      <vt:lpstr>191</vt:lpstr>
      <vt:lpstr>192</vt:lpstr>
      <vt:lpstr>193</vt:lpstr>
      <vt:lpstr>194</vt:lpstr>
      <vt:lpstr>196</vt:lpstr>
      <vt:lpstr>197</vt:lpstr>
      <vt:lpstr>140</vt:lpstr>
      <vt:lpstr>199</vt:lpstr>
      <vt:lpstr>200</vt:lpstr>
      <vt:lpstr>201</vt:lpstr>
      <vt:lpstr>148</vt:lpstr>
      <vt:lpstr>149</vt:lpstr>
      <vt:lpstr>151</vt:lpstr>
      <vt:lpstr>150</vt:lpstr>
      <vt:lpstr>153</vt:lpstr>
      <vt:lpstr>157</vt:lpstr>
      <vt:lpstr>159</vt:lpstr>
      <vt:lpstr>160</vt:lpstr>
      <vt:lpstr>161</vt:lpstr>
      <vt:lpstr>195</vt:lpstr>
      <vt:lpstr>198</vt:lpstr>
      <vt:lpstr>162</vt:lpstr>
      <vt:lpstr>112</vt:lpstr>
      <vt:lpstr>113</vt:lpstr>
      <vt:lpstr>114</vt:lpstr>
      <vt:lpstr>135</vt:lpstr>
      <vt:lpstr>拟支持企业名单!Print_Area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g1838</dc:creator>
  <cp:lastModifiedBy>mingyan li</cp:lastModifiedBy>
  <cp:lastPrinted>2024-08-21T02:22:36Z</cp:lastPrinted>
  <dcterms:created xsi:type="dcterms:W3CDTF">2023-06-21T03:38:00Z</dcterms:created>
  <dcterms:modified xsi:type="dcterms:W3CDTF">2024-08-21T04:43:21Z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3AB81DBF48AF4D57A1B2C644C04DDF2A</vt:lpwstr>
  </property>
  <property fmtid="{D5CDD505-2E9C-101B-9397-08002B2CF9AE}" pid="3" name="KSOProductBuildVer">
    <vt:lpwstr>2052-11.8.2.10912</vt:lpwstr>
  </property>
</Properties>
</file>